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MeganGoss\Documents\"/>
    </mc:Choice>
  </mc:AlternateContent>
  <xr:revisionPtr revIDLastSave="0" documentId="8_{11A00BCC-4324-427F-893D-1698EA787F88}" xr6:coauthVersionLast="47" xr6:coauthVersionMax="47" xr10:uidLastSave="{00000000-0000-0000-0000-000000000000}"/>
  <bookViews>
    <workbookView xWindow="-23148" yWindow="-108" windowWidth="23256" windowHeight="12576" xr2:uid="{2C9CB3B7-FE8D-425F-AC35-D1863B921C14}"/>
  </bookViews>
  <sheets>
    <sheet name="Overview" sheetId="1" r:id="rId1"/>
    <sheet name="Annex 1 LV and HV charges_A" sheetId="17" r:id="rId2"/>
    <sheet name="Annex 1 LV and HV charges_B" sheetId="18" r:id="rId3"/>
    <sheet name="Annex 1 LV and HV charges_C" sheetId="19" r:id="rId4"/>
    <sheet name="Annex 1 LV and HV charges_D" sheetId="20" r:id="rId5"/>
    <sheet name="Annex 1 LV and HV charges_E" sheetId="21" r:id="rId6"/>
    <sheet name="Annex 1 LV and HV charges_F" sheetId="22" r:id="rId7"/>
    <sheet name="Annex 1 LV and HV charges_G" sheetId="23" r:id="rId8"/>
    <sheet name="Annex 1 LV and HV charges_H" sheetId="57" r:id="rId9"/>
    <sheet name="Annex 1 LV and HV charges_J" sheetId="24" r:id="rId10"/>
    <sheet name="Annex 1 LV and HV charges_K" sheetId="25" r:id="rId11"/>
    <sheet name="Annex 1 LV and HV charges_L" sheetId="26" r:id="rId12"/>
    <sheet name="Annex 1 LV and HV charges_M" sheetId="27" r:id="rId13"/>
    <sheet name="Annex 1 LV and HV charges_N" sheetId="61" r:id="rId14"/>
    <sheet name="Annex 1 LV and HV charges_P" sheetId="60" r:id="rId15"/>
    <sheet name="Annex 2 EHV charges" sheetId="28" r:id="rId16"/>
    <sheet name="Annex 3 Preserved charges" sheetId="29" r:id="rId17"/>
    <sheet name="Annex 4 LDNO charges_A" sheetId="30" r:id="rId18"/>
    <sheet name="Annex 4 LDNO charges_B" sheetId="31" r:id="rId19"/>
    <sheet name="Annex 4 LDNO charges_C" sheetId="32" r:id="rId20"/>
    <sheet name="Annex 4 LDNO charges_D" sheetId="33" r:id="rId21"/>
    <sheet name="Annex 4 LDNO charges_E" sheetId="68" r:id="rId22"/>
    <sheet name="Annex 4 LDNO charges_F" sheetId="34" r:id="rId23"/>
    <sheet name="Annex 4 LDNO charges_G" sheetId="36" r:id="rId24"/>
    <sheet name="Annex 4 LDNO charges_H" sheetId="58" r:id="rId25"/>
    <sheet name="Annex 4 LDNO charges_J" sheetId="37" r:id="rId26"/>
    <sheet name="Annex 4 LDNO charges_K" sheetId="38" r:id="rId27"/>
    <sheet name="Annex 4 LDNO charges_L" sheetId="39" r:id="rId28"/>
    <sheet name="Annex 4 LDNO charges_M" sheetId="40" r:id="rId29"/>
    <sheet name="Annex 4 LDNO charges_N" sheetId="62" r:id="rId30"/>
    <sheet name="Annex 4 LDNO charges_P" sheetId="63" r:id="rId31"/>
    <sheet name="Annex 5 LLFs_A" sheetId="41" r:id="rId32"/>
    <sheet name="Annex 5 LLFs_B" sheetId="42" r:id="rId33"/>
    <sheet name="Annex 5 LLFs_C" sheetId="43" r:id="rId34"/>
    <sheet name="Annex 5 LLFs_D" sheetId="44" r:id="rId35"/>
    <sheet name="Annex 5 LLFs_E" sheetId="45" r:id="rId36"/>
    <sheet name="Annex 5 LLFs_F" sheetId="46" r:id="rId37"/>
    <sheet name="Annex 5 LLFs_G" sheetId="48" r:id="rId38"/>
    <sheet name="Annex 5 LLFs_H" sheetId="59" r:id="rId39"/>
    <sheet name="Annex 5 LLFs_J" sheetId="49" r:id="rId40"/>
    <sheet name="Annex 5 LLFs_K" sheetId="50" r:id="rId41"/>
    <sheet name="Annex 5 LLFs_L" sheetId="51" r:id="rId42"/>
    <sheet name="Annex 5 LLFs_M" sheetId="52" r:id="rId43"/>
    <sheet name="Annex 5 LLFs_N" sheetId="64" r:id="rId44"/>
    <sheet name="Annex 5 LLFs_P" sheetId="65" r:id="rId45"/>
    <sheet name="Annex 6 New or Amended EHV" sheetId="53" r:id="rId46"/>
    <sheet name="Nodal prices" sheetId="54" r:id="rId47"/>
    <sheet name="SSC TPR unit rate lookup" sheetId="16" r:id="rId48"/>
    <sheet name="Residual Charging Bands" sheetId="70" r:id="rId49"/>
    <sheet name="Charge Calculator" sheetId="15" r:id="rId50"/>
    <sheet name="Sheet1" sheetId="69" r:id="rId51"/>
  </sheets>
  <externalReferences>
    <externalReference r:id="rId52"/>
  </externalReferences>
  <definedNames>
    <definedName name="_xlnm._FilterDatabase" localSheetId="1" hidden="1">'Annex 1 LV and HV charges_A'!$A$11:$S$30</definedName>
    <definedName name="_xlnm._FilterDatabase" localSheetId="3" hidden="1">'Annex 1 LV and HV charges_C'!$A$11:$K$38</definedName>
    <definedName name="_xlnm._FilterDatabase" localSheetId="4" hidden="1">'Annex 1 LV and HV charges_D'!$A$12:$O$35</definedName>
    <definedName name="_xlnm._FilterDatabase" localSheetId="9" hidden="1">'Annex 1 LV and HV charges_J'!$A$11:$K$30</definedName>
    <definedName name="_xlnm._FilterDatabase" localSheetId="15" hidden="1">'Annex 2 EHV charges'!$A$10:$M$10</definedName>
    <definedName name="_xlnm._FilterDatabase" localSheetId="17" hidden="1">'Annex 4 LDNO charges_A'!$A$11:$J$11</definedName>
    <definedName name="_xlnm._FilterDatabase" localSheetId="19" hidden="1">'Annex 4 LDNO charges_C'!$B$11:$J$140</definedName>
    <definedName name="_xlnm._FilterDatabase" localSheetId="20" hidden="1">'Annex 4 LDNO charges_D'!$A$11:$J$140</definedName>
    <definedName name="_xlnm._FilterDatabase" localSheetId="21" hidden="1">'Annex 4 LDNO charges_E'!$A$11:$J$140</definedName>
    <definedName name="_xlnm._FilterDatabase" localSheetId="25" hidden="1">'Annex 4 LDNO charges_J'!$B$11:$J$140</definedName>
    <definedName name="_xlnm._FilterDatabase" localSheetId="35" hidden="1">'Annex 5 LLFs_E'!#REF!</definedName>
    <definedName name="_xlnm._FilterDatabase" localSheetId="40" hidden="1">'Annex 5 LLFs_K'!#REF!</definedName>
    <definedName name="_xlnm._FilterDatabase" localSheetId="41" hidden="1">'Annex 5 LLFs_L'!#REF!</definedName>
    <definedName name="_xlnm._FilterDatabase" localSheetId="43" hidden="1">'Annex 5 LLFs_N'!#REF!</definedName>
    <definedName name="_xlnm._FilterDatabase" localSheetId="47" hidden="1">'SSC TPR unit rate lookup'!$A$28:$D$1205</definedName>
    <definedName name="days_in_year">'[1]General inputs'!$H$25</definedName>
    <definedName name="OLE_LINK1" localSheetId="16">'Annex 3 Preserved charges'!#REF!</definedName>
    <definedName name="_xlnm.Print_Area" localSheetId="1">'Annex 1 LV and HV charges_A'!$A$2:$K$44</definedName>
    <definedName name="_xlnm.Print_Area" localSheetId="2">'Annex 1 LV and HV charges_B'!$A$2:$K$51</definedName>
    <definedName name="_xlnm.Print_Area" localSheetId="3">'Annex 1 LV and HV charges_C'!$A$2:$K$38</definedName>
    <definedName name="_xlnm.Print_Area" localSheetId="4">'Annex 1 LV and HV charges_D'!$A$2:$K$35</definedName>
    <definedName name="_xlnm.Print_Area" localSheetId="5">'Annex 1 LV and HV charges_E'!$A$1:$L$38</definedName>
    <definedName name="_xlnm.Print_Area" localSheetId="6">'Annex 1 LV and HV charges_F'!$A$2:$K$38</definedName>
    <definedName name="_xlnm.Print_Area" localSheetId="7">'Annex 1 LV and HV charges_G'!$A$2:$K$32</definedName>
    <definedName name="_xlnm.Print_Area" localSheetId="8">'Annex 1 LV and HV charges_H'!$A$2:$K$30</definedName>
    <definedName name="_xlnm.Print_Area" localSheetId="9">'Annex 1 LV and HV charges_J'!$A$2:$K$30</definedName>
    <definedName name="_xlnm.Print_Area" localSheetId="10">'Annex 1 LV and HV charges_K'!$A$2:$K$30</definedName>
    <definedName name="_xlnm.Print_Area" localSheetId="11">'Annex 1 LV and HV charges_L'!$A$2:$K$30</definedName>
    <definedName name="_xlnm.Print_Area" localSheetId="12">'Annex 1 LV and HV charges_M'!$A$2:$K$30</definedName>
    <definedName name="_xlnm.Print_Area" localSheetId="13">'Annex 1 LV and HV charges_N'!$A$2:$K$30</definedName>
    <definedName name="_xlnm.Print_Area" localSheetId="14">'Annex 1 LV and HV charges_P'!$A$2:$K$36</definedName>
    <definedName name="_xlnm.Print_Area" localSheetId="15">'Annex 2 EHV charges'!$A$2:$M$132</definedName>
    <definedName name="_xlnm.Print_Area" localSheetId="16">'Annex 3 Preserved charges'!$A$2:$J$12</definedName>
    <definedName name="_xlnm.Print_Area" localSheetId="17">'Annex 4 LDNO charges_A'!$A$2:$J$67</definedName>
    <definedName name="_xlnm.Print_Area" localSheetId="18">'Annex 4 LDNO charges_B'!$A$1:$AU$149</definedName>
    <definedName name="_xlnm.Print_Area" localSheetId="19">'Annex 4 LDNO charges_C'!$A$2:$J$140</definedName>
    <definedName name="_xlnm.Print_Area" localSheetId="20">'Annex 4 LDNO charges_D'!$A$2:$J$140</definedName>
    <definedName name="_xlnm.Print_Area" localSheetId="21">'Annex 4 LDNO charges_E'!$A$2:$J$140</definedName>
    <definedName name="_xlnm.Print_Area" localSheetId="22">'Annex 4 LDNO charges_F'!$A$2:$J$140</definedName>
    <definedName name="_xlnm.Print_Area" localSheetId="23">'Annex 4 LDNO charges_G'!$A$2:$J$140</definedName>
    <definedName name="_xlnm.Print_Area" localSheetId="24">'Annex 4 LDNO charges_H'!$A$2:$J$140</definedName>
    <definedName name="_xlnm.Print_Area" localSheetId="25">'Annex 4 LDNO charges_J'!$A$2:$J$140</definedName>
    <definedName name="_xlnm.Print_Area" localSheetId="26">'Annex 4 LDNO charges_K'!$A$2:$J$140</definedName>
    <definedName name="_xlnm.Print_Area" localSheetId="27">'Annex 4 LDNO charges_L'!$A$2:$J$116</definedName>
    <definedName name="_xlnm.Print_Area" localSheetId="28">'Annex 4 LDNO charges_M'!$A$2:$J$140</definedName>
    <definedName name="_xlnm.Print_Area" localSheetId="29">'Annex 4 LDNO charges_N'!$A$2:$J$140</definedName>
    <definedName name="_xlnm.Print_Area" localSheetId="30">'Annex 4 LDNO charges_P'!$A$2:$J$140</definedName>
    <definedName name="_xlnm.Print_Area" localSheetId="31">'Annex 5 LLFs_A'!$A$3:$H$31</definedName>
    <definedName name="_xlnm.Print_Area" localSheetId="32">'Annex 5 LLFs_B'!$A$3:$F$30</definedName>
    <definedName name="_xlnm.Print_Area" localSheetId="33">'Annex 5 LLFs_C'!$A$3:$G$31</definedName>
    <definedName name="_xlnm.Print_Area" localSheetId="34">'Annex 5 LLFs_D'!$A$3:$F$32</definedName>
    <definedName name="_xlnm.Print_Area" localSheetId="35">'Annex 5 LLFs_E'!$A$3:$F$32</definedName>
    <definedName name="_xlnm.Print_Area" localSheetId="36">'Annex 5 LLFs_F'!$A$3:$F$32</definedName>
    <definedName name="_xlnm.Print_Area" localSheetId="37">'Annex 5 LLFs_G'!$A$3:$F$31</definedName>
    <definedName name="_xlnm.Print_Area" localSheetId="38">'Annex 5 LLFs_H'!$A$3:$F$30</definedName>
    <definedName name="_xlnm.Print_Area" localSheetId="39">'Annex 5 LLFs_J'!$A$3:$G$31</definedName>
    <definedName name="_xlnm.Print_Area" localSheetId="40">'Annex 5 LLFs_K'!$A$3:$F$32</definedName>
    <definedName name="_xlnm.Print_Area" localSheetId="41">'Annex 5 LLFs_L'!$A$3:$F$32</definedName>
    <definedName name="_xlnm.Print_Area" localSheetId="42">'Annex 5 LLFs_M'!$A$3:$F$31</definedName>
    <definedName name="_xlnm.Print_Area" localSheetId="43">'Annex 5 LLFs_N'!$A$3:$F$32</definedName>
    <definedName name="_xlnm.Print_Area" localSheetId="44">'Annex 5 LLFs_P'!$A$3:$F$29</definedName>
    <definedName name="_xlnm.Print_Area" localSheetId="45">'Annex 6 New or Amended EHV'!$A$4:$O$109</definedName>
    <definedName name="_xlnm.Print_Area" localSheetId="46">'Nodal prices'!$A$2:$D$3</definedName>
    <definedName name="_xlnm.Print_Titles" localSheetId="1">'Annex 1 LV and HV charges_A'!$2:$11</definedName>
    <definedName name="_xlnm.Print_Titles" localSheetId="2">'Annex 1 LV and HV charges_B'!$2:$11</definedName>
    <definedName name="_xlnm.Print_Titles" localSheetId="3">'Annex 1 LV and HV charges_C'!$2:$10</definedName>
    <definedName name="_xlnm.Print_Titles" localSheetId="4">'Annex 1 LV and HV charges_D'!$2:$12</definedName>
    <definedName name="_xlnm.Print_Titles" localSheetId="5">'Annex 1 LV and HV charges_E'!$2:$11</definedName>
    <definedName name="_xlnm.Print_Titles" localSheetId="6">'Annex 1 LV and HV charges_F'!$2:$11</definedName>
    <definedName name="_xlnm.Print_Titles" localSheetId="7">'Annex 1 LV and HV charges_G'!$2:$11</definedName>
    <definedName name="_xlnm.Print_Titles" localSheetId="8">'Annex 1 LV and HV charges_H'!$2:$11</definedName>
    <definedName name="_xlnm.Print_Titles" localSheetId="9">'Annex 1 LV and HV charges_J'!$2:$11</definedName>
    <definedName name="_xlnm.Print_Titles" localSheetId="10">'Annex 1 LV and HV charges_K'!$2:$11</definedName>
    <definedName name="_xlnm.Print_Titles" localSheetId="11">'Annex 1 LV and HV charges_L'!$2:$11</definedName>
    <definedName name="_xlnm.Print_Titles" localSheetId="12">'Annex 1 LV and HV charges_M'!$2:$11</definedName>
    <definedName name="_xlnm.Print_Titles" localSheetId="13">'Annex 1 LV and HV charges_N'!$2:$11</definedName>
    <definedName name="_xlnm.Print_Titles" localSheetId="14">'Annex 1 LV and HV charges_P'!$2:$11</definedName>
    <definedName name="_xlnm.Print_Titles" localSheetId="17">'Annex 4 LDNO charges_A'!$11:$11</definedName>
    <definedName name="_xlnm.Print_Titles" localSheetId="18">'Annex 4 LDNO charges_B'!$11:$11</definedName>
    <definedName name="_xlnm.Print_Titles" localSheetId="19">'Annex 4 LDNO charges_C'!$11:$11</definedName>
    <definedName name="_xlnm.Print_Titles" localSheetId="20">'Annex 4 LDNO charges_D'!$11:$11</definedName>
    <definedName name="_xlnm.Print_Titles" localSheetId="21">'Annex 4 LDNO charges_E'!$11:$11</definedName>
    <definedName name="_xlnm.Print_Titles" localSheetId="22">'Annex 4 LDNO charges_F'!$11:$11</definedName>
    <definedName name="_xlnm.Print_Titles" localSheetId="23">'Annex 4 LDNO charges_G'!$11:$11</definedName>
    <definedName name="_xlnm.Print_Titles" localSheetId="24">'Annex 4 LDNO charges_H'!$11:$11</definedName>
    <definedName name="_xlnm.Print_Titles" localSheetId="25">'Annex 4 LDNO charges_J'!$11:$11</definedName>
    <definedName name="_xlnm.Print_Titles" localSheetId="26">'Annex 4 LDNO charges_K'!$11:$11</definedName>
    <definedName name="_xlnm.Print_Titles" localSheetId="27">'Annex 4 LDNO charges_L'!$11:$11</definedName>
    <definedName name="_xlnm.Print_Titles" localSheetId="28">'Annex 4 LDNO charges_M'!$11:$11</definedName>
    <definedName name="_xlnm.Print_Titles" localSheetId="29">'Annex 4 LDNO charges_N'!$11:$11</definedName>
    <definedName name="_xlnm.Print_Titles" localSheetId="30">'Annex 4 LDNO charges_P'!$11:$11</definedName>
    <definedName name="_xlnm.Print_Titles" localSheetId="35">'Annex 5 LLFs_E'!$26:$26</definedName>
    <definedName name="_xlnm.Print_Titles" localSheetId="36">'Annex 5 LLFs_F'!$26:$26</definedName>
    <definedName name="_xlnm.Print_Titles" localSheetId="38">'Annex 5 LLFs_H'!$24:$24</definedName>
    <definedName name="_xlnm.Print_Titles" localSheetId="39">'Annex 5 LLFs_J'!$25:$25</definedName>
    <definedName name="_xlnm.Print_Titles" localSheetId="40">'Annex 5 LLFs_K'!$26:$26</definedName>
    <definedName name="_xlnm.Print_Titles" localSheetId="41">'Annex 5 LLFs_L'!$26:$26</definedName>
    <definedName name="_xlnm.Print_Titles" localSheetId="42">'Annex 5 LLFs_M'!$25:$25</definedName>
    <definedName name="_xlnm.Print_Titles" localSheetId="43">'Annex 5 LLFs_N'!$26:$26</definedName>
    <definedName name="_xlnm.Print_Titles" localSheetId="44">'Annex 5 LLFs_P'!$23:$23</definedName>
    <definedName name="_xlnm.Print_Titles" localSheetId="45">'Annex 6 New or Amended EHV'!$4:$5</definedName>
    <definedName name="_xlnm.Print_Titles" localSheetId="46">'Nodal prices'!$2:$3</definedName>
    <definedName name="_xlnm.Print_Titles" localSheetId="47">'SSC TPR unit rate lookup'!$28:$28</definedName>
    <definedName name="Z_5032A364_B81A_48DA_88DA_AB3B86B47EE9_.wvu.PrintArea" localSheetId="1" hidden="1">'Annex 1 LV and HV charges_A'!$A$2:$K$44</definedName>
    <definedName name="Z_5032A364_B81A_48DA_88DA_AB3B86B47EE9_.wvu.PrintArea" localSheetId="2" hidden="1">'Annex 1 LV and HV charges_B'!$A$2:$K$51</definedName>
    <definedName name="Z_5032A364_B81A_48DA_88DA_AB3B86B47EE9_.wvu.PrintArea" localSheetId="3" hidden="1">'Annex 1 LV and HV charges_C'!$A$2:$K$38</definedName>
    <definedName name="Z_5032A364_B81A_48DA_88DA_AB3B86B47EE9_.wvu.PrintArea" localSheetId="4" hidden="1">'Annex 1 LV and HV charges_D'!$A$2:$K$35</definedName>
    <definedName name="Z_5032A364_B81A_48DA_88DA_AB3B86B47EE9_.wvu.PrintArea" localSheetId="5" hidden="1">'Annex 1 LV and HV charges_E'!$A$2:$K$38</definedName>
    <definedName name="Z_5032A364_B81A_48DA_88DA_AB3B86B47EE9_.wvu.PrintArea" localSheetId="6" hidden="1">'Annex 1 LV and HV charges_F'!$A$2:$K$38</definedName>
    <definedName name="Z_5032A364_B81A_48DA_88DA_AB3B86B47EE9_.wvu.PrintArea" localSheetId="7" hidden="1">'Annex 1 LV and HV charges_G'!$A$2:$K$32</definedName>
    <definedName name="Z_5032A364_B81A_48DA_88DA_AB3B86B47EE9_.wvu.PrintArea" localSheetId="8" hidden="1">'Annex 1 LV and HV charges_H'!$A$2:$K$30</definedName>
    <definedName name="Z_5032A364_B81A_48DA_88DA_AB3B86B47EE9_.wvu.PrintArea" localSheetId="9" hidden="1">'Annex 1 LV and HV charges_J'!$A$2:$K$30</definedName>
    <definedName name="Z_5032A364_B81A_48DA_88DA_AB3B86B47EE9_.wvu.PrintArea" localSheetId="10" hidden="1">'Annex 1 LV and HV charges_K'!$A$2:$K$30</definedName>
    <definedName name="Z_5032A364_B81A_48DA_88DA_AB3B86B47EE9_.wvu.PrintArea" localSheetId="11" hidden="1">'Annex 1 LV and HV charges_L'!$A$2:$K$30</definedName>
    <definedName name="Z_5032A364_B81A_48DA_88DA_AB3B86B47EE9_.wvu.PrintArea" localSheetId="12" hidden="1">'Annex 1 LV and HV charges_M'!$A$2:$K$30</definedName>
    <definedName name="Z_5032A364_B81A_48DA_88DA_AB3B86B47EE9_.wvu.PrintArea" localSheetId="13" hidden="1">'Annex 1 LV and HV charges_N'!$A$2:$K$30</definedName>
    <definedName name="Z_5032A364_B81A_48DA_88DA_AB3B86B47EE9_.wvu.PrintArea" localSheetId="14" hidden="1">'Annex 1 LV and HV charges_P'!$A$2:$K$36</definedName>
    <definedName name="Z_5032A364_B81A_48DA_88DA_AB3B86B47EE9_.wvu.PrintArea" localSheetId="15" hidden="1">'Annex 2 EHV charges'!$A$2:$G$10</definedName>
    <definedName name="Z_5032A364_B81A_48DA_88DA_AB3B86B47EE9_.wvu.PrintArea" localSheetId="16" hidden="1">'Annex 3 Preserved charges'!$A$2:$J$12</definedName>
    <definedName name="Z_5032A364_B81A_48DA_88DA_AB3B86B47EE9_.wvu.PrintArea" localSheetId="17" hidden="1">'Annex 4 LDNO charges_A'!$A$2:$I$67</definedName>
    <definedName name="Z_5032A364_B81A_48DA_88DA_AB3B86B47EE9_.wvu.PrintArea" localSheetId="18" hidden="1">'Annex 4 LDNO charges_B'!$A$2:$I$140</definedName>
    <definedName name="Z_5032A364_B81A_48DA_88DA_AB3B86B47EE9_.wvu.PrintArea" localSheetId="19" hidden="1">'Annex 4 LDNO charges_C'!$A$2:$I$140</definedName>
    <definedName name="Z_5032A364_B81A_48DA_88DA_AB3B86B47EE9_.wvu.PrintArea" localSheetId="20" hidden="1">'Annex 4 LDNO charges_D'!$A$2:$I$140</definedName>
    <definedName name="Z_5032A364_B81A_48DA_88DA_AB3B86B47EE9_.wvu.PrintArea" localSheetId="21" hidden="1">'Annex 4 LDNO charges_E'!$A$2:$I$140</definedName>
    <definedName name="Z_5032A364_B81A_48DA_88DA_AB3B86B47EE9_.wvu.PrintArea" localSheetId="22" hidden="1">'Annex 4 LDNO charges_F'!$A$2:$I$140</definedName>
    <definedName name="Z_5032A364_B81A_48DA_88DA_AB3B86B47EE9_.wvu.PrintArea" localSheetId="23" hidden="1">'Annex 4 LDNO charges_G'!$A$2:$I$140</definedName>
    <definedName name="Z_5032A364_B81A_48DA_88DA_AB3B86B47EE9_.wvu.PrintArea" localSheetId="24" hidden="1">'Annex 4 LDNO charges_H'!$A$2:$I$140</definedName>
    <definedName name="Z_5032A364_B81A_48DA_88DA_AB3B86B47EE9_.wvu.PrintArea" localSheetId="25" hidden="1">'Annex 4 LDNO charges_J'!$A$2:$I$140</definedName>
    <definedName name="Z_5032A364_B81A_48DA_88DA_AB3B86B47EE9_.wvu.PrintArea" localSheetId="26" hidden="1">'Annex 4 LDNO charges_K'!$A$2:$I$140</definedName>
    <definedName name="Z_5032A364_B81A_48DA_88DA_AB3B86B47EE9_.wvu.PrintArea" localSheetId="27" hidden="1">'Annex 4 LDNO charges_L'!$A$2:$I$116</definedName>
    <definedName name="Z_5032A364_B81A_48DA_88DA_AB3B86B47EE9_.wvu.PrintArea" localSheetId="28" hidden="1">'Annex 4 LDNO charges_M'!$A$2:$I$140</definedName>
    <definedName name="Z_5032A364_B81A_48DA_88DA_AB3B86B47EE9_.wvu.PrintArea" localSheetId="29" hidden="1">'Annex 4 LDNO charges_N'!$A$2:$I$140</definedName>
    <definedName name="Z_5032A364_B81A_48DA_88DA_AB3B86B47EE9_.wvu.PrintArea" localSheetId="30" hidden="1">'Annex 4 LDNO charges_P'!$A$2:$I$140</definedName>
    <definedName name="Z_5032A364_B81A_48DA_88DA_AB3B86B47EE9_.wvu.PrintArea" localSheetId="31" hidden="1">'Annex 5 LLFs_A'!$A$3:$F$30</definedName>
    <definedName name="Z_5032A364_B81A_48DA_88DA_AB3B86B47EE9_.wvu.PrintArea" localSheetId="32" hidden="1">'Annex 5 LLFs_B'!$A$3:$F$30</definedName>
    <definedName name="Z_5032A364_B81A_48DA_88DA_AB3B86B47EE9_.wvu.PrintArea" localSheetId="33" hidden="1">'Annex 5 LLFs_C'!$A$3:$E$31</definedName>
    <definedName name="Z_5032A364_B81A_48DA_88DA_AB3B86B47EE9_.wvu.PrintArea" localSheetId="34" hidden="1">'Annex 5 LLFs_D'!$A$3:$F$32</definedName>
    <definedName name="Z_5032A364_B81A_48DA_88DA_AB3B86B47EE9_.wvu.PrintArea" localSheetId="35" hidden="1">'Annex 5 LLFs_E'!$A$3:$F$32</definedName>
    <definedName name="Z_5032A364_B81A_48DA_88DA_AB3B86B47EE9_.wvu.PrintArea" localSheetId="36" hidden="1">'Annex 5 LLFs_F'!$A$3:$F$32</definedName>
    <definedName name="Z_5032A364_B81A_48DA_88DA_AB3B86B47EE9_.wvu.PrintArea" localSheetId="37" hidden="1">'Annex 5 LLFs_G'!$A$3:$F$31</definedName>
    <definedName name="Z_5032A364_B81A_48DA_88DA_AB3B86B47EE9_.wvu.PrintArea" localSheetId="38" hidden="1">'Annex 5 LLFs_H'!$A$3:$F$30</definedName>
    <definedName name="Z_5032A364_B81A_48DA_88DA_AB3B86B47EE9_.wvu.PrintArea" localSheetId="39" hidden="1">'Annex 5 LLFs_J'!$A$3:$E$31</definedName>
    <definedName name="Z_5032A364_B81A_48DA_88DA_AB3B86B47EE9_.wvu.PrintArea" localSheetId="40" hidden="1">'Annex 5 LLFs_K'!$A$3:$F$32</definedName>
    <definedName name="Z_5032A364_B81A_48DA_88DA_AB3B86B47EE9_.wvu.PrintArea" localSheetId="41" hidden="1">'Annex 5 LLFs_L'!$A$3:$F$32</definedName>
    <definedName name="Z_5032A364_B81A_48DA_88DA_AB3B86B47EE9_.wvu.PrintArea" localSheetId="42" hidden="1">'Annex 5 LLFs_M'!$A$3:$F$31</definedName>
    <definedName name="Z_5032A364_B81A_48DA_88DA_AB3B86B47EE9_.wvu.PrintArea" localSheetId="43" hidden="1">'Annex 5 LLFs_N'!$A$3:$F$32</definedName>
    <definedName name="Z_5032A364_B81A_48DA_88DA_AB3B86B47EE9_.wvu.PrintArea" localSheetId="44" hidden="1">'Annex 5 LLFs_P'!$A$3:$F$29</definedName>
    <definedName name="Z_5032A364_B81A_48DA_88DA_AB3B86B47EE9_.wvu.PrintArea" localSheetId="45" hidden="1">'Annex 6 New or Amended EHV'!$A$1:$M$28</definedName>
    <definedName name="Z_5032A364_B81A_48DA_88DA_AB3B86B47EE9_.wvu.PrintArea" localSheetId="46" hidden="1">'Nodal prices'!$A$2:$D$3</definedName>
    <definedName name="Z_5032A364_B81A_48DA_88DA_AB3B86B47EE9_.wvu.PrintTitles" localSheetId="1" hidden="1">'Annex 1 LV and HV charges_A'!$2:$11</definedName>
    <definedName name="Z_5032A364_B81A_48DA_88DA_AB3B86B47EE9_.wvu.PrintTitles" localSheetId="2" hidden="1">'Annex 1 LV and HV charges_B'!$2:$11</definedName>
    <definedName name="Z_5032A364_B81A_48DA_88DA_AB3B86B47EE9_.wvu.PrintTitles" localSheetId="3" hidden="1">'Annex 1 LV and HV charges_C'!$2:$10</definedName>
    <definedName name="Z_5032A364_B81A_48DA_88DA_AB3B86B47EE9_.wvu.PrintTitles" localSheetId="4" hidden="1">'Annex 1 LV and HV charges_D'!$2:$12</definedName>
    <definedName name="Z_5032A364_B81A_48DA_88DA_AB3B86B47EE9_.wvu.PrintTitles" localSheetId="5" hidden="1">'Annex 1 LV and HV charges_E'!$2:$11</definedName>
    <definedName name="Z_5032A364_B81A_48DA_88DA_AB3B86B47EE9_.wvu.PrintTitles" localSheetId="6" hidden="1">'Annex 1 LV and HV charges_F'!$2:$11</definedName>
    <definedName name="Z_5032A364_B81A_48DA_88DA_AB3B86B47EE9_.wvu.PrintTitles" localSheetId="7" hidden="1">'Annex 1 LV and HV charges_G'!$2:$11</definedName>
    <definedName name="Z_5032A364_B81A_48DA_88DA_AB3B86B47EE9_.wvu.PrintTitles" localSheetId="8" hidden="1">'Annex 1 LV and HV charges_H'!$2:$11</definedName>
    <definedName name="Z_5032A364_B81A_48DA_88DA_AB3B86B47EE9_.wvu.PrintTitles" localSheetId="9" hidden="1">'Annex 1 LV and HV charges_J'!$2:$11</definedName>
    <definedName name="Z_5032A364_B81A_48DA_88DA_AB3B86B47EE9_.wvu.PrintTitles" localSheetId="10" hidden="1">'Annex 1 LV and HV charges_K'!$2:$11</definedName>
    <definedName name="Z_5032A364_B81A_48DA_88DA_AB3B86B47EE9_.wvu.PrintTitles" localSheetId="11" hidden="1">'Annex 1 LV and HV charges_L'!$2:$11</definedName>
    <definedName name="Z_5032A364_B81A_48DA_88DA_AB3B86B47EE9_.wvu.PrintTitles" localSheetId="12" hidden="1">'Annex 1 LV and HV charges_M'!$2:$11</definedName>
    <definedName name="Z_5032A364_B81A_48DA_88DA_AB3B86B47EE9_.wvu.PrintTitles" localSheetId="13" hidden="1">'Annex 1 LV and HV charges_N'!$2:$11</definedName>
    <definedName name="Z_5032A364_B81A_48DA_88DA_AB3B86B47EE9_.wvu.PrintTitles" localSheetId="14" hidden="1">'Annex 1 LV and HV charges_P'!$2:$11</definedName>
    <definedName name="Z_5032A364_B81A_48DA_88DA_AB3B86B47EE9_.wvu.PrintTitles" localSheetId="15" hidden="1">'Annex 2 EHV charges'!$2:$10</definedName>
    <definedName name="Z_5032A364_B81A_48DA_88DA_AB3B86B47EE9_.wvu.PrintTitles" localSheetId="17" hidden="1">'Annex 4 LDNO charges_A'!$2:$11</definedName>
    <definedName name="Z_5032A364_B81A_48DA_88DA_AB3B86B47EE9_.wvu.PrintTitles" localSheetId="18" hidden="1">'Annex 4 LDNO charges_B'!$2:$11</definedName>
    <definedName name="Z_5032A364_B81A_48DA_88DA_AB3B86B47EE9_.wvu.PrintTitles" localSheetId="19" hidden="1">'Annex 4 LDNO charges_C'!$2:$11</definedName>
    <definedName name="Z_5032A364_B81A_48DA_88DA_AB3B86B47EE9_.wvu.PrintTitles" localSheetId="20" hidden="1">'Annex 4 LDNO charges_D'!$2:$11</definedName>
    <definedName name="Z_5032A364_B81A_48DA_88DA_AB3B86B47EE9_.wvu.PrintTitles" localSheetId="21" hidden="1">'Annex 4 LDNO charges_E'!$2:$11</definedName>
    <definedName name="Z_5032A364_B81A_48DA_88DA_AB3B86B47EE9_.wvu.PrintTitles" localSheetId="22" hidden="1">'Annex 4 LDNO charges_F'!$2:$11</definedName>
    <definedName name="Z_5032A364_B81A_48DA_88DA_AB3B86B47EE9_.wvu.PrintTitles" localSheetId="23" hidden="1">'Annex 4 LDNO charges_G'!$2:$11</definedName>
    <definedName name="Z_5032A364_B81A_48DA_88DA_AB3B86B47EE9_.wvu.PrintTitles" localSheetId="24" hidden="1">'Annex 4 LDNO charges_H'!$2:$11</definedName>
    <definedName name="Z_5032A364_B81A_48DA_88DA_AB3B86B47EE9_.wvu.PrintTitles" localSheetId="25" hidden="1">'Annex 4 LDNO charges_J'!$2:$11</definedName>
    <definedName name="Z_5032A364_B81A_48DA_88DA_AB3B86B47EE9_.wvu.PrintTitles" localSheetId="26" hidden="1">'Annex 4 LDNO charges_K'!$2:$11</definedName>
    <definedName name="Z_5032A364_B81A_48DA_88DA_AB3B86B47EE9_.wvu.PrintTitles" localSheetId="27" hidden="1">'Annex 4 LDNO charges_L'!$2:$11</definedName>
    <definedName name="Z_5032A364_B81A_48DA_88DA_AB3B86B47EE9_.wvu.PrintTitles" localSheetId="28" hidden="1">'Annex 4 LDNO charges_M'!$2:$11</definedName>
    <definedName name="Z_5032A364_B81A_48DA_88DA_AB3B86B47EE9_.wvu.PrintTitles" localSheetId="29" hidden="1">'Annex 4 LDNO charges_N'!$2:$11</definedName>
    <definedName name="Z_5032A364_B81A_48DA_88DA_AB3B86B47EE9_.wvu.PrintTitles" localSheetId="30" hidden="1">'Annex 4 LDNO charges_P'!$2:$11</definedName>
    <definedName name="Z_5032A364_B81A_48DA_88DA_AB3B86B47EE9_.wvu.PrintTitles" localSheetId="45" hidden="1">'Annex 6 New or Amended EHV'!$4:$5</definedName>
    <definedName name="Z_5032A364_B81A_48DA_88DA_AB3B86B47EE9_.wvu.PrintTitles" localSheetId="46" hidden="1">'Nodal prices'!$2:$3</definedName>
  </definedNames>
  <calcPr calcId="19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1" l="1"/>
  <c r="A2" i="70" l="1"/>
  <c r="H9" i="36" l="1"/>
  <c r="F9" i="36"/>
  <c r="A2" i="68" l="1"/>
  <c r="A2" i="33"/>
  <c r="B55" i="1" l="1"/>
  <c r="B25" i="1"/>
  <c r="D9" i="15"/>
  <c r="E9" i="15"/>
  <c r="F9" i="15"/>
  <c r="G9" i="15"/>
  <c r="H9" i="15"/>
  <c r="I9" i="15"/>
  <c r="C9" i="15"/>
  <c r="B23" i="1"/>
  <c r="A2" i="60" l="1"/>
  <c r="B22" i="1" s="1"/>
  <c r="A41" i="54" s="1"/>
  <c r="A2" i="61"/>
  <c r="A2" i="27"/>
  <c r="A2" i="26"/>
  <c r="A2" i="25"/>
  <c r="A2" i="24"/>
  <c r="A2" i="57"/>
  <c r="A2" i="23"/>
  <c r="B15" i="1" s="1"/>
  <c r="A2" i="22"/>
  <c r="B14" i="1" s="1"/>
  <c r="A2" i="20"/>
  <c r="A2" i="19"/>
  <c r="A2" i="18"/>
  <c r="B10" i="1" s="1"/>
  <c r="A2" i="17"/>
  <c r="A3" i="45"/>
  <c r="H10" i="63"/>
  <c r="F10" i="63"/>
  <c r="J9" i="63"/>
  <c r="I9" i="63"/>
  <c r="H9" i="63"/>
  <c r="F9" i="63"/>
  <c r="J8" i="63"/>
  <c r="I8" i="63"/>
  <c r="H8" i="63"/>
  <c r="F8" i="63"/>
  <c r="J7" i="63"/>
  <c r="I7" i="63"/>
  <c r="H7" i="63"/>
  <c r="F7" i="63"/>
  <c r="J6" i="63"/>
  <c r="I6" i="63"/>
  <c r="H6" i="63"/>
  <c r="F6" i="63"/>
  <c r="D9" i="63"/>
  <c r="D8" i="63"/>
  <c r="D7" i="63"/>
  <c r="D6" i="63"/>
  <c r="B10" i="63"/>
  <c r="A10" i="63"/>
  <c r="C9" i="63"/>
  <c r="B9" i="63"/>
  <c r="A9" i="63"/>
  <c r="C8" i="63"/>
  <c r="B8" i="63"/>
  <c r="A8" i="63"/>
  <c r="C7" i="63"/>
  <c r="B7" i="63"/>
  <c r="A7" i="63"/>
  <c r="C6" i="63"/>
  <c r="B6" i="63"/>
  <c r="A6" i="63"/>
  <c r="J10" i="62"/>
  <c r="I10" i="62"/>
  <c r="J9" i="62"/>
  <c r="I9" i="62"/>
  <c r="D7" i="62"/>
  <c r="D6" i="62"/>
  <c r="B8" i="62"/>
  <c r="A8" i="62"/>
  <c r="C7" i="62"/>
  <c r="B7" i="62"/>
  <c r="A7" i="62"/>
  <c r="C6" i="62"/>
  <c r="B6" i="62"/>
  <c r="A6" i="62"/>
  <c r="H9" i="40"/>
  <c r="F9" i="40"/>
  <c r="J8" i="40"/>
  <c r="I8" i="40"/>
  <c r="H8" i="40"/>
  <c r="F8" i="40"/>
  <c r="J7" i="40"/>
  <c r="I7" i="40"/>
  <c r="H7" i="40"/>
  <c r="F7" i="40"/>
  <c r="J6" i="40"/>
  <c r="I6" i="40"/>
  <c r="H6" i="40"/>
  <c r="F6" i="40"/>
  <c r="D7" i="40"/>
  <c r="D6" i="40"/>
  <c r="B8" i="40"/>
  <c r="A8" i="40"/>
  <c r="C7" i="40"/>
  <c r="B7" i="40"/>
  <c r="A7" i="40"/>
  <c r="C6" i="40"/>
  <c r="B6" i="40"/>
  <c r="A6" i="40"/>
  <c r="H9" i="39"/>
  <c r="F9" i="39"/>
  <c r="J8" i="39"/>
  <c r="I8" i="39"/>
  <c r="H8" i="39"/>
  <c r="F8" i="39"/>
  <c r="J7" i="39"/>
  <c r="I7" i="39"/>
  <c r="H7" i="39"/>
  <c r="F7" i="39"/>
  <c r="J6" i="39"/>
  <c r="I6" i="39"/>
  <c r="H6" i="39"/>
  <c r="F6" i="39"/>
  <c r="D7" i="39"/>
  <c r="D6" i="39"/>
  <c r="B8" i="39"/>
  <c r="A8" i="39"/>
  <c r="C7" i="39"/>
  <c r="B7" i="39"/>
  <c r="A7" i="39"/>
  <c r="C6" i="39"/>
  <c r="B6" i="39"/>
  <c r="A6" i="39"/>
  <c r="H9" i="38"/>
  <c r="F9" i="38"/>
  <c r="J8" i="38"/>
  <c r="I8" i="38"/>
  <c r="H8" i="38"/>
  <c r="F8" i="38"/>
  <c r="J7" i="38"/>
  <c r="I7" i="38"/>
  <c r="H7" i="38"/>
  <c r="F7" i="38"/>
  <c r="J6" i="38"/>
  <c r="I6" i="38"/>
  <c r="H6" i="38"/>
  <c r="F6" i="38"/>
  <c r="D7" i="38"/>
  <c r="D6" i="38"/>
  <c r="B8" i="38"/>
  <c r="A8" i="38"/>
  <c r="C7" i="38"/>
  <c r="B7" i="38"/>
  <c r="A7" i="38"/>
  <c r="C6" i="38"/>
  <c r="B6" i="38"/>
  <c r="A6" i="38"/>
  <c r="H9" i="37"/>
  <c r="F9" i="37"/>
  <c r="J8" i="37"/>
  <c r="I8" i="37"/>
  <c r="H8" i="37"/>
  <c r="F8" i="37"/>
  <c r="J7" i="37"/>
  <c r="I7" i="37"/>
  <c r="H7" i="37"/>
  <c r="F7" i="37"/>
  <c r="J6" i="37"/>
  <c r="I6" i="37"/>
  <c r="H6" i="37"/>
  <c r="F6" i="37"/>
  <c r="D7" i="37"/>
  <c r="D6" i="37"/>
  <c r="B8" i="37"/>
  <c r="A8" i="37"/>
  <c r="C7" i="37"/>
  <c r="B7" i="37"/>
  <c r="A7" i="37"/>
  <c r="C6" i="37"/>
  <c r="B6" i="37"/>
  <c r="A6" i="37"/>
  <c r="H10" i="58"/>
  <c r="F10" i="58"/>
  <c r="J9" i="58"/>
  <c r="I9" i="58"/>
  <c r="H9" i="58"/>
  <c r="F9" i="58"/>
  <c r="J8" i="58"/>
  <c r="I8" i="58"/>
  <c r="H8" i="58"/>
  <c r="F8" i="58"/>
  <c r="J7" i="58"/>
  <c r="I7" i="58"/>
  <c r="H7" i="58"/>
  <c r="F7" i="58"/>
  <c r="J6" i="58"/>
  <c r="I6" i="58"/>
  <c r="H6" i="58"/>
  <c r="F6" i="58"/>
  <c r="D9" i="58"/>
  <c r="D8" i="58"/>
  <c r="D7" i="58"/>
  <c r="D6" i="58"/>
  <c r="A10" i="58"/>
  <c r="C9" i="58"/>
  <c r="B9" i="58"/>
  <c r="A9" i="58"/>
  <c r="C8" i="58"/>
  <c r="B8" i="58"/>
  <c r="A8" i="58"/>
  <c r="C7" i="58"/>
  <c r="B7" i="58"/>
  <c r="A7" i="58"/>
  <c r="C6" i="58"/>
  <c r="B6" i="58"/>
  <c r="A6" i="58"/>
  <c r="J9" i="36"/>
  <c r="I9" i="36"/>
  <c r="J8" i="36"/>
  <c r="I8" i="36"/>
  <c r="H8" i="36"/>
  <c r="F8" i="36"/>
  <c r="J7" i="36"/>
  <c r="I7" i="36"/>
  <c r="H7" i="36"/>
  <c r="F7" i="36"/>
  <c r="J6" i="36"/>
  <c r="I6" i="36"/>
  <c r="H6" i="36"/>
  <c r="F6" i="36"/>
  <c r="D7" i="36"/>
  <c r="D6" i="36"/>
  <c r="B8" i="36"/>
  <c r="A8" i="36"/>
  <c r="C7" i="36"/>
  <c r="B7" i="36"/>
  <c r="A7" i="36"/>
  <c r="C6" i="36"/>
  <c r="B6" i="36"/>
  <c r="A6" i="36"/>
  <c r="H9" i="34"/>
  <c r="F9" i="34"/>
  <c r="J8" i="34"/>
  <c r="I8" i="34"/>
  <c r="H8" i="34"/>
  <c r="F8" i="34"/>
  <c r="J7" i="34"/>
  <c r="I7" i="34"/>
  <c r="H7" i="34"/>
  <c r="F7" i="34"/>
  <c r="J6" i="34"/>
  <c r="I6" i="34"/>
  <c r="H6" i="34"/>
  <c r="F6" i="34"/>
  <c r="D7" i="34"/>
  <c r="D6" i="34"/>
  <c r="B8" i="34"/>
  <c r="A8" i="34"/>
  <c r="C7" i="34"/>
  <c r="B7" i="34"/>
  <c r="A7" i="34"/>
  <c r="C6" i="34"/>
  <c r="B6" i="34"/>
  <c r="A6" i="34"/>
  <c r="H10" i="33"/>
  <c r="F10" i="33"/>
  <c r="J9" i="33"/>
  <c r="I9" i="33"/>
  <c r="H9" i="33"/>
  <c r="F9" i="33"/>
  <c r="J8" i="33"/>
  <c r="I8" i="33"/>
  <c r="H8" i="33"/>
  <c r="F8" i="33"/>
  <c r="J7" i="33"/>
  <c r="I7" i="33"/>
  <c r="H7" i="33"/>
  <c r="F7" i="33"/>
  <c r="J6" i="33"/>
  <c r="I6" i="33"/>
  <c r="H6" i="33"/>
  <c r="F6" i="33"/>
  <c r="D7" i="33"/>
  <c r="D6" i="33"/>
  <c r="B8" i="33"/>
  <c r="A8" i="33"/>
  <c r="C7" i="33"/>
  <c r="B7" i="33"/>
  <c r="A7" i="33"/>
  <c r="C6" i="33"/>
  <c r="B6" i="33"/>
  <c r="A6" i="33"/>
  <c r="H10" i="32"/>
  <c r="F10" i="32"/>
  <c r="J9" i="32"/>
  <c r="I9" i="32"/>
  <c r="H9" i="32"/>
  <c r="F9" i="32"/>
  <c r="J8" i="32"/>
  <c r="I8" i="32"/>
  <c r="H8" i="32"/>
  <c r="F8" i="32"/>
  <c r="J7" i="32"/>
  <c r="I7" i="32"/>
  <c r="H7" i="32"/>
  <c r="F7" i="32"/>
  <c r="J6" i="32"/>
  <c r="I6" i="32"/>
  <c r="H6" i="32"/>
  <c r="F6" i="32"/>
  <c r="D7" i="32"/>
  <c r="D6" i="32"/>
  <c r="B8" i="32"/>
  <c r="A8" i="32"/>
  <c r="C7" i="32"/>
  <c r="B7" i="32"/>
  <c r="A7" i="32"/>
  <c r="C6" i="32"/>
  <c r="B6" i="32"/>
  <c r="A6" i="32"/>
  <c r="H9" i="31"/>
  <c r="F9" i="31"/>
  <c r="J8" i="31"/>
  <c r="I8" i="31"/>
  <c r="H8" i="31"/>
  <c r="F8" i="31"/>
  <c r="J7" i="31"/>
  <c r="I7" i="31"/>
  <c r="H7" i="31"/>
  <c r="F7" i="31"/>
  <c r="J6" i="31"/>
  <c r="I6" i="31"/>
  <c r="H6" i="31"/>
  <c r="F6" i="31"/>
  <c r="D7" i="31"/>
  <c r="D6" i="31"/>
  <c r="B8" i="31"/>
  <c r="A8" i="31"/>
  <c r="C7" i="31"/>
  <c r="B7" i="31"/>
  <c r="A7" i="31"/>
  <c r="C6" i="31"/>
  <c r="B6" i="31"/>
  <c r="A6" i="31"/>
  <c r="F10" i="62"/>
  <c r="G10" i="62"/>
  <c r="H10" i="62"/>
  <c r="H9" i="62"/>
  <c r="F9" i="62"/>
  <c r="G9" i="62"/>
  <c r="J8" i="62"/>
  <c r="I8" i="62"/>
  <c r="H8" i="62"/>
  <c r="F8" i="62"/>
  <c r="J7" i="62"/>
  <c r="I7" i="62"/>
  <c r="H7" i="62"/>
  <c r="F7" i="62"/>
  <c r="J6" i="62"/>
  <c r="I6" i="62"/>
  <c r="H6" i="62"/>
  <c r="F6" i="62"/>
  <c r="J10" i="63"/>
  <c r="I10" i="63"/>
  <c r="G10" i="63"/>
  <c r="D10" i="63"/>
  <c r="C10" i="63"/>
  <c r="G9" i="63"/>
  <c r="G8" i="63"/>
  <c r="G7" i="63"/>
  <c r="G6" i="63"/>
  <c r="G8" i="62"/>
  <c r="D8" i="62"/>
  <c r="C8" i="62"/>
  <c r="G7" i="62"/>
  <c r="G6" i="62"/>
  <c r="J9" i="40"/>
  <c r="I9" i="40"/>
  <c r="G9" i="40"/>
  <c r="G8" i="40"/>
  <c r="D8" i="40"/>
  <c r="C8" i="40"/>
  <c r="G7" i="40"/>
  <c r="G6" i="40"/>
  <c r="J9" i="39"/>
  <c r="I9" i="39"/>
  <c r="G9" i="39"/>
  <c r="G8" i="39"/>
  <c r="D8" i="39"/>
  <c r="C8" i="39"/>
  <c r="G7" i="39"/>
  <c r="G6" i="39"/>
  <c r="J9" i="38"/>
  <c r="I9" i="38"/>
  <c r="G9" i="38"/>
  <c r="G8" i="38"/>
  <c r="D8" i="38"/>
  <c r="C8" i="38"/>
  <c r="G7" i="38"/>
  <c r="G6" i="38"/>
  <c r="J9" i="37"/>
  <c r="I9" i="37"/>
  <c r="G9" i="37"/>
  <c r="G8" i="37"/>
  <c r="D8" i="37"/>
  <c r="C8" i="37"/>
  <c r="G7" i="37"/>
  <c r="G6" i="37"/>
  <c r="J10" i="58"/>
  <c r="I10" i="58"/>
  <c r="G10" i="58"/>
  <c r="D10" i="58"/>
  <c r="C10" i="58"/>
  <c r="G9" i="58"/>
  <c r="G8" i="58"/>
  <c r="G7" i="58"/>
  <c r="G6" i="58"/>
  <c r="G9" i="36"/>
  <c r="G8" i="36"/>
  <c r="D8" i="36"/>
  <c r="C8" i="36"/>
  <c r="G7" i="36"/>
  <c r="G6" i="36"/>
  <c r="J9" i="34"/>
  <c r="I9" i="34"/>
  <c r="G9" i="34"/>
  <c r="G8" i="34"/>
  <c r="D8" i="34"/>
  <c r="C8" i="34"/>
  <c r="G7" i="34"/>
  <c r="G6" i="34"/>
  <c r="J10" i="33"/>
  <c r="I10" i="33"/>
  <c r="G10" i="33"/>
  <c r="G9" i="33"/>
  <c r="G8" i="33"/>
  <c r="D8" i="33"/>
  <c r="C8" i="33"/>
  <c r="G7" i="33"/>
  <c r="G6" i="33"/>
  <c r="J10" i="32"/>
  <c r="I10" i="32"/>
  <c r="G10" i="32"/>
  <c r="G9" i="32"/>
  <c r="G8" i="32"/>
  <c r="D8" i="32"/>
  <c r="C8" i="32"/>
  <c r="G7" i="32"/>
  <c r="G6" i="32"/>
  <c r="J9" i="31"/>
  <c r="I9" i="31"/>
  <c r="G9" i="31"/>
  <c r="G8" i="31"/>
  <c r="G7" i="31"/>
  <c r="G6" i="31"/>
  <c r="D8" i="31"/>
  <c r="C8" i="31"/>
  <c r="J9" i="30"/>
  <c r="I9" i="30"/>
  <c r="H9" i="30"/>
  <c r="G9" i="30"/>
  <c r="F9" i="30"/>
  <c r="J8" i="30"/>
  <c r="I8" i="30"/>
  <c r="H8" i="30"/>
  <c r="G8" i="30"/>
  <c r="F8" i="30"/>
  <c r="J7" i="30"/>
  <c r="I7" i="30"/>
  <c r="H7" i="30"/>
  <c r="G7" i="30"/>
  <c r="F7" i="30"/>
  <c r="J6" i="30"/>
  <c r="I6" i="30"/>
  <c r="H6" i="30"/>
  <c r="G6" i="30"/>
  <c r="F6" i="30"/>
  <c r="D8" i="30"/>
  <c r="C8" i="30"/>
  <c r="B8" i="30"/>
  <c r="A8" i="30"/>
  <c r="D7" i="30"/>
  <c r="C7" i="30"/>
  <c r="B7" i="30"/>
  <c r="A7" i="30"/>
  <c r="D6" i="30"/>
  <c r="C6" i="30"/>
  <c r="B6" i="30"/>
  <c r="A6" i="30"/>
  <c r="A3" i="65"/>
  <c r="A3" i="64"/>
  <c r="A3" i="52"/>
  <c r="A3" i="51"/>
  <c r="B51" i="1" s="1"/>
  <c r="A3" i="48"/>
  <c r="A3" i="44"/>
  <c r="A3" i="50"/>
  <c r="B50" i="1" s="1"/>
  <c r="A3" i="49"/>
  <c r="A3" i="59"/>
  <c r="A3" i="46"/>
  <c r="A3" i="43"/>
  <c r="A3" i="42"/>
  <c r="B42" i="1" s="1"/>
  <c r="A3" i="41"/>
  <c r="A147" i="28"/>
  <c r="A80" i="28"/>
  <c r="A135" i="28"/>
  <c r="B13" i="1"/>
  <c r="A2" i="34"/>
  <c r="B31" i="1" s="1"/>
  <c r="A38" i="54" s="1"/>
  <c r="A125" i="53"/>
  <c r="A121" i="53"/>
  <c r="A116" i="53"/>
  <c r="A112" i="53"/>
  <c r="A2" i="63"/>
  <c r="B39" i="1" s="1"/>
  <c r="A2" i="62"/>
  <c r="B38" i="1" s="1"/>
  <c r="B54" i="1"/>
  <c r="B53" i="1"/>
  <c r="B52" i="1"/>
  <c r="B49" i="1"/>
  <c r="B47" i="1"/>
  <c r="B46" i="1"/>
  <c r="B45" i="1"/>
  <c r="B44" i="1"/>
  <c r="B43" i="1"/>
  <c r="A2" i="40"/>
  <c r="B37" i="1" s="1"/>
  <c r="A2" i="39"/>
  <c r="B36" i="1" s="1"/>
  <c r="A2" i="38"/>
  <c r="B35" i="1" s="1"/>
  <c r="A2" i="37"/>
  <c r="B34" i="1" s="1"/>
  <c r="A2" i="58"/>
  <c r="B33" i="1" s="1"/>
  <c r="A2" i="36"/>
  <c r="B32" i="1" s="1"/>
  <c r="B30" i="1"/>
  <c r="B29" i="1"/>
  <c r="A2" i="32"/>
  <c r="B28" i="1" s="1"/>
  <c r="A2" i="31"/>
  <c r="B27" i="1" s="1"/>
  <c r="A2" i="30"/>
  <c r="B26" i="1" s="1"/>
  <c r="B20" i="1"/>
  <c r="B19" i="1"/>
  <c r="B18" i="1"/>
  <c r="B17" i="1"/>
  <c r="B16" i="1"/>
  <c r="B12" i="1"/>
  <c r="B11" i="1"/>
  <c r="A23" i="54"/>
  <c r="A71" i="53"/>
  <c r="A67" i="53"/>
  <c r="A91" i="28"/>
  <c r="A35" i="54"/>
  <c r="A32" i="54"/>
  <c r="A29" i="54"/>
  <c r="A26" i="54"/>
  <c r="A20" i="54"/>
  <c r="A17" i="54"/>
  <c r="A14" i="54"/>
  <c r="A11" i="54"/>
  <c r="A8" i="54"/>
  <c r="A5" i="54"/>
  <c r="A58" i="53"/>
  <c r="A2" i="29"/>
  <c r="A2" i="54"/>
  <c r="A107" i="53"/>
  <c r="A103" i="53"/>
  <c r="A98" i="53"/>
  <c r="A94" i="53"/>
  <c r="A89" i="53"/>
  <c r="A85" i="53"/>
  <c r="A80" i="53"/>
  <c r="A76" i="53"/>
  <c r="A62" i="53"/>
  <c r="A53" i="53"/>
  <c r="A49" i="53"/>
  <c r="A44" i="53"/>
  <c r="A40" i="53"/>
  <c r="A35" i="53"/>
  <c r="A31" i="53"/>
  <c r="A26" i="53"/>
  <c r="A22" i="53"/>
  <c r="A17" i="53"/>
  <c r="A13" i="53"/>
  <c r="A8" i="53"/>
  <c r="A4" i="53"/>
  <c r="A124" i="28"/>
  <c r="A113" i="28"/>
  <c r="A102" i="28"/>
  <c r="A70" i="28"/>
  <c r="A59" i="28"/>
  <c r="A48" i="28"/>
  <c r="A36" i="28"/>
  <c r="A24" i="28"/>
  <c r="A13" i="28"/>
  <c r="A2" i="28"/>
  <c r="I14" i="15"/>
  <c r="H14" i="15"/>
  <c r="B2" i="15"/>
  <c r="R9" i="15"/>
  <c r="S9" i="15"/>
  <c r="T9" i="15"/>
  <c r="Q9" i="15"/>
  <c r="N9" i="15"/>
  <c r="O9" i="15"/>
  <c r="P9" i="15"/>
  <c r="M9" i="15"/>
  <c r="N10" i="15"/>
  <c r="C14" i="15"/>
  <c r="R13" i="15"/>
  <c r="R14" i="15" s="1"/>
  <c r="R18" i="15" s="1"/>
  <c r="N14" i="15"/>
  <c r="O14" i="15"/>
  <c r="P14" i="15"/>
  <c r="Q14" i="15"/>
  <c r="S14" i="15"/>
  <c r="T14" i="15"/>
  <c r="M14" i="15"/>
  <c r="T10" i="15"/>
  <c r="S10" i="15"/>
  <c r="R10" i="15"/>
  <c r="Q10" i="15"/>
  <c r="Q17" i="15" s="1"/>
  <c r="P10" i="15"/>
  <c r="P18" i="15" s="1"/>
  <c r="O10" i="15"/>
  <c r="O17" i="15" s="1"/>
  <c r="N17" i="15"/>
  <c r="M10" i="15"/>
  <c r="M17" i="15" s="1"/>
  <c r="D14" i="15"/>
  <c r="E14" i="15"/>
  <c r="F14" i="15"/>
  <c r="G14" i="15"/>
  <c r="R17" i="15"/>
  <c r="Q18" i="15"/>
  <c r="N18" i="15"/>
  <c r="B21" i="1"/>
  <c r="H10" i="15"/>
  <c r="C10" i="15"/>
  <c r="E10" i="15"/>
  <c r="G10" i="15"/>
  <c r="I10" i="15"/>
  <c r="F10" i="15"/>
  <c r="D10" i="15"/>
  <c r="C18" i="15" l="1"/>
  <c r="C17" i="15"/>
  <c r="E18" i="15"/>
  <c r="D18" i="15"/>
  <c r="H17" i="15"/>
  <c r="F17" i="15"/>
  <c r="G17" i="15"/>
  <c r="I17" i="15"/>
  <c r="I18" i="15"/>
  <c r="P17" i="15"/>
  <c r="M21" i="15" s="1"/>
  <c r="F18" i="15"/>
  <c r="D17" i="15"/>
  <c r="S18" i="15"/>
  <c r="N22" i="15" s="1"/>
  <c r="O18" i="15"/>
  <c r="T17" i="15"/>
  <c r="T18" i="15"/>
  <c r="H18" i="15"/>
  <c r="G18" i="15"/>
  <c r="M18" i="15"/>
  <c r="M22" i="15" s="1"/>
  <c r="S17" i="15"/>
  <c r="E17" i="15"/>
  <c r="B9" i="1"/>
  <c r="B41" i="1"/>
  <c r="B48" i="1"/>
  <c r="C21" i="15" l="1"/>
  <c r="C22" i="15"/>
  <c r="N21" i="15"/>
</calcChain>
</file>

<file path=xl/sharedStrings.xml><?xml version="1.0" encoding="utf-8"?>
<sst xmlns="http://schemas.openxmlformats.org/spreadsheetml/2006/main" count="10508" uniqueCount="1346">
  <si>
    <t>Closed LLFCs</t>
  </si>
  <si>
    <t>Geographical name</t>
  </si>
  <si>
    <t>Notes:</t>
  </si>
  <si>
    <t xml:space="preserve">Unit time periods are as specified in the SSC. </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</si>
  <si>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</si>
  <si>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</si>
  <si>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</si>
  <si>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</si>
  <si>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</si>
  <si>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</si>
  <si>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</si>
  <si>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</si>
  <si>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</si>
  <si>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</si>
  <si>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</si>
  <si>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</si>
  <si>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</si>
  <si>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</si>
  <si>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</si>
  <si>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</si>
  <si>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</si>
  <si>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</si>
  <si>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</si>
  <si>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</si>
  <si>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</si>
  <si>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</si>
  <si>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</si>
  <si>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</si>
  <si>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Annex 5 LLFs</t>
  </si>
  <si>
    <t>Name</t>
  </si>
  <si>
    <t>Note: The list of MPANs / MSIDs provided may be incomplete; the DNO reserves the right to apply the listed charges to any other MPANs / MSIDs associated with the site.</t>
  </si>
  <si>
    <t>Unique billing identifier</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</si>
  <si>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</si>
  <si>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</si>
  <si>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</si>
  <si>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</si>
  <si>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</si>
  <si>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</si>
  <si>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</si>
  <si>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</si>
  <si>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</si>
  <si>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</si>
  <si>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</si>
  <si>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</si>
  <si>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</si>
  <si>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</si>
  <si>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</si>
  <si>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</si>
  <si>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</si>
  <si>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</si>
  <si>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</si>
  <si>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</si>
  <si>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</si>
  <si>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</si>
  <si>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</si>
  <si>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</si>
  <si>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</si>
  <si>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</si>
  <si>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</si>
  <si>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</si>
  <si>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</si>
  <si>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</si>
  <si>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</si>
  <si>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</si>
  <si>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</si>
  <si>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</si>
  <si>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</si>
  <si>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</si>
  <si>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</si>
  <si>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</si>
  <si>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</si>
  <si>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</si>
  <si>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</si>
  <si>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</si>
  <si>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</si>
  <si>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</si>
  <si>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</si>
  <si>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</si>
  <si>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</si>
  <si>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</si>
  <si>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</si>
  <si>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</si>
  <si>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</si>
  <si>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</si>
  <si>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</si>
  <si>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</si>
  <si>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</si>
  <si>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</si>
  <si>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</si>
  <si>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</si>
  <si>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</si>
  <si>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</si>
  <si>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</si>
  <si>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</si>
  <si>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</si>
  <si>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</si>
  <si>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</si>
  <si>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</si>
  <si>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</si>
  <si>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</si>
  <si>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</si>
  <si>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</si>
  <si>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</si>
  <si>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</si>
  <si>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</si>
  <si>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</si>
  <si>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</si>
  <si>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</si>
  <si>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</si>
  <si>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</si>
  <si>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</si>
  <si>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</si>
  <si>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</si>
  <si>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</si>
  <si>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</si>
  <si>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</si>
  <si>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</si>
  <si>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</si>
  <si>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</si>
  <si>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</si>
  <si>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</si>
  <si>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</si>
  <si>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</si>
  <si>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</si>
  <si>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</si>
  <si>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</si>
  <si>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</si>
  <si>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</si>
  <si>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</si>
  <si>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</si>
  <si>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</si>
  <si>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</si>
  <si>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</si>
  <si>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</si>
  <si>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</si>
  <si>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</si>
  <si>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</si>
  <si>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</si>
  <si>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</si>
  <si>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</si>
  <si>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</si>
  <si>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</si>
  <si>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</si>
  <si>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</si>
  <si>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</si>
  <si>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</si>
  <si>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</si>
  <si>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</si>
  <si>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</si>
  <si>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</si>
  <si>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</si>
  <si>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</si>
  <si>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</si>
  <si>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</si>
  <si>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</si>
  <si>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</si>
  <si>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</si>
  <si>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</si>
  <si>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</si>
  <si>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</si>
  <si>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</si>
  <si>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</si>
  <si>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</si>
  <si>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</si>
  <si>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</si>
  <si>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</si>
  <si>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</si>
  <si>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</si>
  <si>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</si>
  <si>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</si>
  <si>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</si>
  <si>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</si>
  <si>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</si>
  <si>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</si>
  <si>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</si>
  <si>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</si>
  <si>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</si>
  <si>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</si>
  <si>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</si>
  <si>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</si>
  <si>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</si>
  <si>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</si>
  <si>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</si>
  <si>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</si>
  <si>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</si>
  <si>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</si>
  <si>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</si>
  <si>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</si>
  <si>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</si>
  <si>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</si>
  <si>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</si>
  <si>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</si>
  <si>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</si>
  <si>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</si>
  <si>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</si>
  <si>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</si>
  <si>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</si>
  <si>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</si>
  <si>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</si>
  <si>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</si>
  <si>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</si>
  <si>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</si>
  <si>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</si>
  <si>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</si>
  <si>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</si>
  <si>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</si>
  <si>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</si>
  <si>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</si>
  <si>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</si>
  <si>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</si>
  <si>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</si>
  <si>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</si>
  <si>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</si>
  <si>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</si>
  <si>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</si>
  <si>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</si>
  <si>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</si>
  <si>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</si>
  <si>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</si>
  <si>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</si>
  <si>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</si>
  <si>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</si>
  <si>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</si>
  <si>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</si>
  <si>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</si>
  <si>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</si>
  <si>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</si>
  <si>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</si>
  <si>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</si>
  <si>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</si>
  <si>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</si>
  <si>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</si>
  <si>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</si>
  <si>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</si>
  <si>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</si>
  <si>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</si>
  <si>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</si>
  <si>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</si>
  <si>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</si>
  <si>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</si>
  <si>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</si>
  <si>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</si>
  <si>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</si>
  <si>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</si>
  <si>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</si>
  <si>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</si>
  <si>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</si>
  <si>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</si>
  <si>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</si>
  <si>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</si>
  <si>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</si>
  <si>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</si>
  <si>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</si>
  <si>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</si>
  <si>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</si>
  <si>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</si>
  <si>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</si>
  <si>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</si>
  <si>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</si>
  <si>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</si>
  <si>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</si>
  <si>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</si>
  <si>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</si>
  <si>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</si>
  <si>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</si>
  <si>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</si>
  <si>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</si>
  <si>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</si>
  <si>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</si>
  <si>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</si>
  <si>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</si>
  <si>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</si>
  <si>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</si>
  <si>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</si>
  <si>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</si>
  <si>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</si>
  <si>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</si>
  <si>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</si>
  <si>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</si>
  <si>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</si>
  <si>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</si>
  <si>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</si>
  <si>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</si>
  <si>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</si>
  <si>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</si>
  <si>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</si>
  <si>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</si>
  <si>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</si>
  <si>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</si>
  <si>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</si>
  <si>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</si>
  <si>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</si>
  <si>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</si>
  <si>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</si>
  <si>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</si>
  <si>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</si>
  <si>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Node/Zone ID</t>
  </si>
  <si>
    <t>Import
fixed charge
(p/day)</t>
  </si>
  <si>
    <t>Export
fixed charge
(p/day)</t>
  </si>
  <si>
    <t>Red Time Band</t>
  </si>
  <si>
    <t>Amber Time Band</t>
  </si>
  <si>
    <t>Green Time Band</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</si>
  <si>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</si>
  <si>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</si>
  <si>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</si>
  <si>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</si>
  <si>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</si>
  <si>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</si>
  <si>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</si>
  <si>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</si>
  <si>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</si>
  <si>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</si>
  <si>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</si>
  <si>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</si>
  <si>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</si>
  <si>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</si>
  <si>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</si>
  <si>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</si>
  <si>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</si>
  <si>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</si>
  <si>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</si>
  <si>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</si>
  <si>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</si>
  <si>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</si>
  <si>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</si>
  <si>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</si>
  <si>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</si>
  <si>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</si>
  <si>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</si>
  <si>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</si>
  <si>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</si>
  <si>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</si>
  <si>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</si>
  <si>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</si>
  <si>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</si>
  <si>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</si>
  <si>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</si>
  <si>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</si>
  <si>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</si>
  <si>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</si>
  <si>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</si>
  <si>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</si>
  <si>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</si>
  <si>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</si>
  <si>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</si>
  <si>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</si>
  <si>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</si>
  <si>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</si>
  <si>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</si>
  <si>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</si>
  <si>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</si>
  <si>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</si>
  <si>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</si>
  <si>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</si>
  <si>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</si>
  <si>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</si>
  <si>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</si>
  <si>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</si>
  <si>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</si>
  <si>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</si>
  <si>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</si>
  <si>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</si>
  <si>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</si>
  <si>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</si>
  <si>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</si>
  <si>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</si>
  <si>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</si>
  <si>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</si>
  <si>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</si>
  <si>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</si>
  <si>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</si>
  <si>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</si>
  <si>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</si>
  <si>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</si>
  <si>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</si>
  <si>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</si>
  <si>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</si>
  <si>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</si>
  <si>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</si>
  <si>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</si>
  <si>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</si>
  <si>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</si>
  <si>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</si>
  <si>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</si>
  <si>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</si>
  <si>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</si>
  <si>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</si>
  <si>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</si>
  <si>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</si>
  <si>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</si>
  <si>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</si>
  <si>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</si>
  <si>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</si>
  <si>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</si>
  <si>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</si>
  <si>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</si>
  <si>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</si>
  <si>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</si>
  <si>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</si>
  <si>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</si>
  <si>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</si>
  <si>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capacity charge
(p/kVA/day)</t>
  </si>
  <si>
    <t>Export
capacity charge
(p/kVA/day)</t>
  </si>
  <si>
    <t>Import
Super Red
unit charge
(p/kWh)</t>
  </si>
  <si>
    <t>Export
Super Red
unit charge
(p/kWh)</t>
  </si>
  <si>
    <t>Red/black charge (HH)
p/kWh</t>
  </si>
  <si>
    <t>Amber/yellow charge (HH)
p/kWh</t>
  </si>
  <si>
    <t>Green charge (HH)
p/kWh</t>
  </si>
  <si>
    <t>Final</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</si>
  <si>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</si>
  <si>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</si>
  <si>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</si>
  <si>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</si>
  <si>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</si>
  <si>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</si>
  <si>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</si>
  <si>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</si>
  <si>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</si>
  <si>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</si>
  <si>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</si>
  <si>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</si>
  <si>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</si>
  <si>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</si>
  <si>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</si>
  <si>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</si>
  <si>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</si>
  <si>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</si>
  <si>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</si>
  <si>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</si>
  <si>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</si>
  <si>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</si>
  <si>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</si>
  <si>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</si>
  <si>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</si>
  <si>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</si>
  <si>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</si>
  <si>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</si>
  <si>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</si>
  <si>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</si>
  <si>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</si>
  <si>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</si>
  <si>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</si>
  <si>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</si>
  <si>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</si>
  <si>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</si>
  <si>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</si>
  <si>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</si>
  <si>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</si>
  <si>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</si>
  <si>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</si>
  <si>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</si>
  <si>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</si>
  <si>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</si>
  <si>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</si>
  <si>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</si>
  <si>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</si>
  <si>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</si>
  <si>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</si>
  <si>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</si>
  <si>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</si>
  <si>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</si>
  <si>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</si>
  <si>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</si>
  <si>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Note: Where a tariff only has a p/kWh unit rate in Unit Charge 1 then this unit rate applies at all times.</t>
  </si>
  <si>
    <t xml:space="preserve">Charge Calculator - This worksheet is not functional due to the multiple distribution service areas included in this workbook. </t>
  </si>
  <si>
    <t>16:00 - 19:00</t>
  </si>
  <si>
    <t>All times are in UK Clock time</t>
  </si>
  <si>
    <t>16:00 to 19:00</t>
  </si>
  <si>
    <t>Monday to Friday Nov to Feb</t>
  </si>
  <si>
    <t>11:00 - 14:00</t>
  </si>
  <si>
    <t>Time Periods for EHV Properties</t>
  </si>
  <si>
    <t>Import LLFC</t>
  </si>
  <si>
    <t>Export LLFC</t>
  </si>
  <si>
    <t>16:30 - 19:30</t>
  </si>
  <si>
    <t>Monday to Friday Nov to Feb 
(excluding 22nd Dec to 4th Jan inclusive)</t>
  </si>
  <si>
    <t>17:00 - 19:30</t>
  </si>
  <si>
    <t>17:00 - 19:00</t>
  </si>
  <si>
    <t>Period 5</t>
  </si>
  <si>
    <t>Generic Demand and Generation LLFs</t>
  </si>
  <si>
    <t>Metered Voltage</t>
  </si>
  <si>
    <t xml:space="preserve"> </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</si>
  <si>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</si>
  <si>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</si>
  <si>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</si>
  <si>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</si>
  <si>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</si>
  <si>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</si>
  <si>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</si>
  <si>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</si>
  <si>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</si>
  <si>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</si>
  <si>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Annex 1 contains the charges to LV and HV Properties.</t>
  </si>
  <si>
    <t>Annex 6 - Charges for New or Amended EHV Properties</t>
  </si>
  <si>
    <t>16:00 - 19:30</t>
  </si>
  <si>
    <t>Annex 6  Charges for New or Amended EHV Properties</t>
  </si>
  <si>
    <t>Effective from date</t>
  </si>
  <si>
    <t>Notes to DNOs populating this spreadsheet</t>
  </si>
  <si>
    <t>Annex 1 LV and HV charges_A</t>
  </si>
  <si>
    <t>Annex 1 LV and HV charges_B</t>
  </si>
  <si>
    <t>Annex 1 LV and HV charges_C</t>
  </si>
  <si>
    <t>Annex 1 LV and HV charges_D</t>
  </si>
  <si>
    <t>Annex 1 LV and HV charges_E</t>
  </si>
  <si>
    <t>Annex 1 LV and HV charges_F</t>
  </si>
  <si>
    <t>Annex 1 LV and HV charges_G</t>
  </si>
  <si>
    <t>Annex 1 LV and HV charges_H</t>
  </si>
  <si>
    <t>Annex 1 LV and HV charges_J</t>
  </si>
  <si>
    <t>Annex 1 LV and HV charges_K</t>
  </si>
  <si>
    <t>Annex 1 LV and HV charges_L</t>
  </si>
  <si>
    <t>Annex 1 LV and HV charges_M</t>
  </si>
  <si>
    <t>Annex 1 LV and HV charges_N</t>
  </si>
  <si>
    <t>Annex 1 LV and HV charges_P</t>
  </si>
  <si>
    <t>Annex 4 LDNO charges_A</t>
  </si>
  <si>
    <t>Annex 4 LDNO charges_B</t>
  </si>
  <si>
    <t>Annex 4 LDNO charges_C</t>
  </si>
  <si>
    <t>Annex 4 LDNO charges_D</t>
  </si>
  <si>
    <t>Annex 4 LDNO charges_E</t>
  </si>
  <si>
    <t>Annex 4 LDNO charges_F</t>
  </si>
  <si>
    <t>Annex 4 LDNO charges_G</t>
  </si>
  <si>
    <t>Annex 4 LDNO charges_H</t>
  </si>
  <si>
    <t>Annex 4 LDNO charges_J</t>
  </si>
  <si>
    <t>Annex 4 LDNO charges_K</t>
  </si>
  <si>
    <t>Annex 4 LDNO charges_L</t>
  </si>
  <si>
    <t>Annex 4 LDNO charges_M</t>
  </si>
  <si>
    <t>Annex 4 LDNO charges_N</t>
  </si>
  <si>
    <t>Annex 4 LDNO charges_P</t>
  </si>
  <si>
    <t>Annex 5 LLFs_A</t>
  </si>
  <si>
    <t>Annex 5 LLFs_B</t>
  </si>
  <si>
    <t>Annex 5 LLFs_C</t>
  </si>
  <si>
    <t>Annex 5 LLFs_D</t>
  </si>
  <si>
    <t>Annex 5 LLFs_E</t>
  </si>
  <si>
    <t>Annex 5 LLFs_F</t>
  </si>
  <si>
    <t>Annex 5 LLFs_G</t>
  </si>
  <si>
    <t>Annex 5 LLFs_H</t>
  </si>
  <si>
    <t>Annex 5 LLFs_J</t>
  </si>
  <si>
    <t>Annex 5 LLFs_K</t>
  </si>
  <si>
    <t>Annex 5 LLFs_L</t>
  </si>
  <si>
    <t>Annex 5 LLFs_M</t>
  </si>
  <si>
    <t>Annex 5 LLFs_N</t>
  </si>
  <si>
    <t>Annex 5 LLFs_P</t>
  </si>
  <si>
    <t>EHV 132kV Import</t>
  </si>
  <si>
    <t>EHV 132kV Export</t>
  </si>
  <si>
    <t>EHV 33kV Import</t>
  </si>
  <si>
    <t>EHV 33kV Export</t>
  </si>
  <si>
    <t>HV Sub</t>
  </si>
  <si>
    <t>HV Net</t>
  </si>
  <si>
    <t>LV Sub</t>
  </si>
  <si>
    <t>LV Net</t>
  </si>
  <si>
    <t>EHV 132 kV</t>
  </si>
  <si>
    <t>EHV 132 kV to 33 kV</t>
  </si>
  <si>
    <t>EHV 33 kV</t>
  </si>
  <si>
    <t>Low-voltage network</t>
  </si>
  <si>
    <t>Low-voltage substation</t>
  </si>
  <si>
    <t>High-voltage network</t>
  </si>
  <si>
    <t>High-voltage substation</t>
  </si>
  <si>
    <t>33kV generic</t>
  </si>
  <si>
    <t>132/33kV generic</t>
  </si>
  <si>
    <t>132kV generic</t>
  </si>
  <si>
    <t>Low Voltage Network</t>
  </si>
  <si>
    <t>Low Voltage Substation</t>
  </si>
  <si>
    <t>High Voltage Network</t>
  </si>
  <si>
    <t>High Voltage Substation</t>
  </si>
  <si>
    <t>Greater than 22kV connected - generation</t>
  </si>
  <si>
    <t>Greater than 22kV connected - demand</t>
  </si>
  <si>
    <t>132kV connected</t>
  </si>
  <si>
    <t>132/EHV connected</t>
  </si>
  <si>
    <t>132/HV connected</t>
  </si>
  <si>
    <t>EHV connected</t>
  </si>
  <si>
    <t>33kV Generic</t>
  </si>
  <si>
    <t>132kV Generic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</si>
  <si>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</si>
  <si>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Domestic Aggregated</t>
  </si>
  <si>
    <t>Domestic Aggregated (related MPAN)</t>
  </si>
  <si>
    <t>Non-Domestic Aggregated (related MPAN)</t>
  </si>
  <si>
    <t>Unmetered Supplies</t>
  </si>
  <si>
    <t>1, 2 or 0</t>
  </si>
  <si>
    <t>2</t>
  </si>
  <si>
    <t>3-8 or 0</t>
  </si>
  <si>
    <t>4</t>
  </si>
  <si>
    <t>1, 8 or 0</t>
  </si>
  <si>
    <t>Red/black unit charge
p/kWh</t>
  </si>
  <si>
    <t>Amber/yellow unit charge
p/kWh</t>
  </si>
  <si>
    <t>Green unit charge
p/kWh</t>
  </si>
  <si>
    <t>LDNO LV: Non-Domestic Aggregated (related MPAN)</t>
  </si>
  <si>
    <t>LDNO LV: Unmetered Supplies</t>
  </si>
  <si>
    <t>LDNO HV: Non-Domestic Aggregated (related MPAN)</t>
  </si>
  <si>
    <t>LDNO HV: Unmetered Supplies</t>
  </si>
  <si>
    <t>LDNO HVplus: Non-Domestic Aggregated (related MPAN)</t>
  </si>
  <si>
    <t>LDNO HVplus: Unmetered Supplies</t>
  </si>
  <si>
    <t>LDNO EHV: Non-Domestic Aggregated (related MPAN)</t>
  </si>
  <si>
    <t>LDNO EHV: Unmetered Supplies</t>
  </si>
  <si>
    <t>LDNO 132kV/EHV: Non-Domestic Aggregated (related MPAN)</t>
  </si>
  <si>
    <t>LDNO 132kV/EHV: Unmetered Supplies</t>
  </si>
  <si>
    <t>LDNO 132kV: Non-Domestic Aggregated (related MPAN)</t>
  </si>
  <si>
    <t>LDNO 132kV: Unmetered Supplies</t>
  </si>
  <si>
    <t>LDNO 0000: Non-Domestic Aggregated (related MPAN)</t>
  </si>
  <si>
    <t>LDNO 0000: Unmetered Supplies</t>
  </si>
  <si>
    <t>0</t>
  </si>
  <si>
    <t>LV Generation Site Specific</t>
  </si>
  <si>
    <t>HV Generation Site Specific</t>
  </si>
  <si>
    <t>LDNO HV: LV Generation Site Specific</t>
  </si>
  <si>
    <t>LDNO HV: HV Generation Site Specific</t>
  </si>
  <si>
    <t>Monday to Friday 
(Including Bank Holidays)
All Year</t>
  </si>
  <si>
    <t>07:00 - 16:00
19:00 - 23:00</t>
  </si>
  <si>
    <t/>
  </si>
  <si>
    <t>00:00 - 07:00
23:00 - 24:00</t>
  </si>
  <si>
    <t>Saturday and Sunday
All Year</t>
  </si>
  <si>
    <t>00:00 - 24:00</t>
  </si>
  <si>
    <t>Monday to Friday 
(Including Bank Holidays)
March to October Inclusive</t>
  </si>
  <si>
    <t>07:00 - 23:00</t>
  </si>
  <si>
    <t xml:space="preserve">Monday to Friday </t>
  </si>
  <si>
    <t>07:30 to 16:00
19:00 to 21:00</t>
  </si>
  <si>
    <t>00:00 to 07:30
21:00 to 24:00</t>
  </si>
  <si>
    <t>Weekends</t>
  </si>
  <si>
    <t>00:00 to 24:00</t>
  </si>
  <si>
    <t>Monday to Friday Mar to Oct</t>
  </si>
  <si>
    <t>07:30 to 21:00</t>
  </si>
  <si>
    <t>0, 1 or 8</t>
  </si>
  <si>
    <t>LV Generation Aggregated</t>
  </si>
  <si>
    <t xml:space="preserve">  </t>
  </si>
  <si>
    <t>Indigo Power Limited</t>
  </si>
  <si>
    <t>33Kv generic</t>
  </si>
  <si>
    <t>0 or 8</t>
  </si>
  <si>
    <t>11:00 - 14:00
16:00 - 19:00</t>
  </si>
  <si>
    <t>07:00 - 11:00
14:00 - 16:00
19:00 - 23:00</t>
  </si>
  <si>
    <t>07:00 - 11:00
14:00 - 23:00</t>
  </si>
  <si>
    <t>Monday to Friday 
(Including Bank Holidays)
March, April, May and September, October</t>
  </si>
  <si>
    <t>Saturday and Sunday
All year</t>
  </si>
  <si>
    <t>16.30 - 19.30</t>
  </si>
  <si>
    <t>08.00 - 16.30
19.30 - 22.30</t>
  </si>
  <si>
    <t>00.00 - 08.00
22.30 - 00.00</t>
  </si>
  <si>
    <t>08.00 - 22.30</t>
  </si>
  <si>
    <t>16.00 - 20.00</t>
  </si>
  <si>
    <t>00.00 - 16.00
20.00 - 00.00</t>
  </si>
  <si>
    <t>00:00-16:00
20:00-00:00</t>
  </si>
  <si>
    <t>16:00 to 19:30</t>
  </si>
  <si>
    <t>08:00 to 16:00
19:30 to 22:00</t>
  </si>
  <si>
    <t>00:00 to 08:00
22:00 to 24:00</t>
  </si>
  <si>
    <t>Monday to Friday 
(Including Bank Holidays)
April to October Inclusive and March</t>
  </si>
  <si>
    <t>08:00 to 22:00</t>
  </si>
  <si>
    <t>0, 1, 2</t>
  </si>
  <si>
    <t>0, 3, 4, 5-8</t>
  </si>
  <si>
    <t>0, 1, 8</t>
  </si>
  <si>
    <t>09:00 to 16:00
19:00 to 20:30</t>
  </si>
  <si>
    <t>00.00 - 09.00
20.30 - 24.00</t>
  </si>
  <si>
    <t>09.00 - 20.30</t>
  </si>
  <si>
    <t>00.00 - 16.00
19.00 - 24.00</t>
  </si>
  <si>
    <t>09:00 - 16.00
19.00 - 20.30</t>
  </si>
  <si>
    <t>0, 1, 2 or 5-8</t>
  </si>
  <si>
    <t>0, 3, 4 or 5-8</t>
  </si>
  <si>
    <t>Monday to Friday 
(Including Bank Holidays)
March to October</t>
  </si>
  <si>
    <t>07:00 - 22:00</t>
  </si>
  <si>
    <t>07:00 - 16:30
19:30 - 22:00</t>
  </si>
  <si>
    <t xml:space="preserve">Monday to Friday 
(Including Bank Holidays)
November to February </t>
  </si>
  <si>
    <t>00:00 - 07:00
22:00 - 24:00</t>
  </si>
  <si>
    <t>Monday to Friday 
(Including Bank Holidays)
April to March</t>
  </si>
  <si>
    <t>09:30 - 21:30</t>
  </si>
  <si>
    <t>00:00 - 09:30
21:30 - 24:00</t>
  </si>
  <si>
    <t>Saturday and Sunday 
All Year</t>
  </si>
  <si>
    <t>17:00 to 19:30</t>
  </si>
  <si>
    <t>07:30 to 17:00
19:30 to 22:00</t>
  </si>
  <si>
    <t>00:00 to 07:30
22:00 to 24:00</t>
  </si>
  <si>
    <t>Monday to Friday Nov to Feb
(excluding 22nd Dec to
4th Jan inclusive)</t>
  </si>
  <si>
    <t>12:00 to 13:00
16:00 to 21:00</t>
  </si>
  <si>
    <t>00:00 to 12:00
13:00 to 16:00 
21:00 to 24:00</t>
  </si>
  <si>
    <t>Monday to Friday Mar to Oct
(plus 22nd Dec to
4th Jan inclusive)</t>
  </si>
  <si>
    <t>07:30 to 22:00</t>
  </si>
  <si>
    <t>00:00 to 12:00
13:00 to 16:00
21:00 to 24:00</t>
  </si>
  <si>
    <t>17.00 - 19.00</t>
  </si>
  <si>
    <t>07:30 to 17:00
19:00 to 21:30</t>
  </si>
  <si>
    <t>00:00 to 07:30
21:30 to 24:00</t>
  </si>
  <si>
    <t>Monday to Friday Nov to Feb (excluding 22nd Dec to 4th Jan inclusive)</t>
  </si>
  <si>
    <t>17:00 to 19:00</t>
  </si>
  <si>
    <t>16:30 to 19:30</t>
  </si>
  <si>
    <t>00:00 to 16:30
19:30 to 24:00</t>
  </si>
  <si>
    <t>Monday to Friday Mar to Oct (plus 22nd Dec to 4th Jan inclusive)</t>
  </si>
  <si>
    <t>07:30 to 21:30</t>
  </si>
  <si>
    <t>07:00 - 21:00</t>
  </si>
  <si>
    <t>07:00 - 16:00
19:00 - 21:00</t>
  </si>
  <si>
    <t>00:00 - 07:00
21:00 - 24:00</t>
  </si>
  <si>
    <t>12:00 - 20:00</t>
  </si>
  <si>
    <t>00:00 - 12:00
20:00 - 24:00</t>
  </si>
  <si>
    <t>HV Generation Site Specific no RP charge</t>
  </si>
  <si>
    <t>LV Sub Generation Aggregated</t>
  </si>
  <si>
    <t>LV Generation Site Specific no RP charge</t>
  </si>
  <si>
    <t>LV Sub Generation Site Specific</t>
  </si>
  <si>
    <t>LV Sub Generation Site Specific no RP charge</t>
  </si>
  <si>
    <t>LDNO LV: LV Generation Aggregated</t>
  </si>
  <si>
    <t>LDNO LV: LV Generation Site Specific</t>
  </si>
  <si>
    <t>LDNO HV: LV Generation Aggregated</t>
  </si>
  <si>
    <t>LDNO HV: LV Sub Generation Aggregated</t>
  </si>
  <si>
    <t>LDNO HV: LV Sub Generation Site Specific</t>
  </si>
  <si>
    <t>LDNO HVplus: LV Generation Aggregated</t>
  </si>
  <si>
    <t>LDNO HVplus: LV Sub Generation Aggregated</t>
  </si>
  <si>
    <t>LDNO HVplus: LV Generation Site Specific</t>
  </si>
  <si>
    <t>LDNO HVplus: LV Sub Generation Site Specific</t>
  </si>
  <si>
    <t>LDNO HVplus: HV Generation Site Specific</t>
  </si>
  <si>
    <t>LDNO EHV: LV Generation Aggregated</t>
  </si>
  <si>
    <t>LDNO EHV: LV Sub Generation Aggregated</t>
  </si>
  <si>
    <t>LDNO EHV: LV Generation Site Specific</t>
  </si>
  <si>
    <t>LDNO EHV: LV Sub Generation Site Specific</t>
  </si>
  <si>
    <t>LDNO EHV: HV Generation Site Specific</t>
  </si>
  <si>
    <t>LDNO 132kV/EHV: LV Generation Aggregated</t>
  </si>
  <si>
    <t>LDNO 132kV/EHV: LV Sub Generation Aggregated</t>
  </si>
  <si>
    <t>LDNO 132kV/EHV: LV Generation Site Specific</t>
  </si>
  <si>
    <t>LDNO 132kV/EHV: LV Sub Generation Site Specific</t>
  </si>
  <si>
    <t>LDNO 132kV/EHV: HV Generation Site Specific</t>
  </si>
  <si>
    <t>LDNO 132kV: LV Generation Aggregated</t>
  </si>
  <si>
    <t>LDNO 132kV: LV Sub Generation Aggregated</t>
  </si>
  <si>
    <t>LDNO 132kV: LV Generation Site Specific</t>
  </si>
  <si>
    <t>LDNO 132kV: LV Sub Generation Site Specific</t>
  </si>
  <si>
    <t>LDNO 132kV: HV Generation Site Specific</t>
  </si>
  <si>
    <t>LDNO 0000: LV Generation Aggregated</t>
  </si>
  <si>
    <t>LDNO 0000: LV Sub Generation Aggregated</t>
  </si>
  <si>
    <t>LDNO 0000: LV Generation Site Specific</t>
  </si>
  <si>
    <t>LDNO 0000: LV Sub Generation Site Specific</t>
  </si>
  <si>
    <t>LDNO 0000: HV Generation Site Specific</t>
  </si>
  <si>
    <t>Not checked against actual as no figures</t>
  </si>
  <si>
    <t>Can't check figures as none in original</t>
  </si>
  <si>
    <t>Can't check figures missing from original</t>
  </si>
  <si>
    <t>0, 8</t>
  </si>
  <si>
    <t>Can't check figs with actuals as nothing in source</t>
  </si>
  <si>
    <t>-</t>
  </si>
  <si>
    <t>Annex 5 contains line loss factors at date of production, but will be superseded by those approved by the BSC Panel</t>
  </si>
  <si>
    <t>Indigo Power Limited currently has no EHV export customeres in any GSP group</t>
  </si>
  <si>
    <t>Indigo Power Limited currently has no preserved charges in any GSP group</t>
  </si>
  <si>
    <t>Indigo Power Limited currently has no new or amended EHV in any GSP group</t>
  </si>
  <si>
    <t>Indigo Power Limited currently has no nodal prices in any GSP group</t>
  </si>
  <si>
    <t>Step 1, Choose GSP group cell D5</t>
  </si>
  <si>
    <t>Step 2, Choose your tariff using the drop down list in cell B11</t>
  </si>
  <si>
    <t>Step 4, Enter a forecast of consumption if required in cells C14:I14</t>
  </si>
  <si>
    <t xml:space="preserve">Step 3, After selecting a tariff in step 1, Cells C13-I13 will generate headings, please enter your consumption in cells C13:I13 underneath each heading generated (if no heading leave cell blank)
</t>
  </si>
  <si>
    <t>L</t>
  </si>
  <si>
    <t>A</t>
  </si>
  <si>
    <t>B</t>
  </si>
  <si>
    <t>C</t>
  </si>
  <si>
    <t>D</t>
  </si>
  <si>
    <t>E</t>
  </si>
  <si>
    <t>F</t>
  </si>
  <si>
    <t>H</t>
  </si>
  <si>
    <t>J</t>
  </si>
  <si>
    <t>K</t>
  </si>
  <si>
    <t>M</t>
  </si>
  <si>
    <t>N</t>
  </si>
  <si>
    <t>P</t>
  </si>
  <si>
    <t>Domestic Aggregated with Residual</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</si>
  <si>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</si>
  <si>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</si>
  <si>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</si>
  <si>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</si>
  <si>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</si>
  <si>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</si>
  <si>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</si>
  <si>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</si>
  <si>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</si>
  <si>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</si>
  <si>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</si>
  <si>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</si>
  <si>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</si>
  <si>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</si>
  <si>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</si>
  <si>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</si>
  <si>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</si>
  <si>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</si>
  <si>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</si>
  <si>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</si>
  <si>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A0A, A3A, A6A</t>
  </si>
  <si>
    <t>A0B, A3B, A6B</t>
  </si>
  <si>
    <t>A1A, A4A, A7A</t>
  </si>
  <si>
    <t>A1B, A4B, A7B</t>
  </si>
  <si>
    <t>A1C, A4C, A7C</t>
  </si>
  <si>
    <t>A1D, A4D, A7D</t>
  </si>
  <si>
    <t>A0L, A3L, A6L</t>
  </si>
  <si>
    <t>A0F, A3F, A6F</t>
  </si>
  <si>
    <t>A2A, A5A, A8A</t>
  </si>
  <si>
    <t>A2B, A5B, A8B</t>
  </si>
  <si>
    <t>A2C, A5C, A8C</t>
  </si>
  <si>
    <t>A2D, A5D, A8D</t>
  </si>
  <si>
    <t>A3G, A6G</t>
  </si>
  <si>
    <t>A0E, A3E, A6E</t>
  </si>
  <si>
    <t>AM1, AR1, AV1</t>
  </si>
  <si>
    <t>AM3, AR3, AV3</t>
  </si>
  <si>
    <t>A5J, A8J</t>
  </si>
  <si>
    <t xml:space="preserve">A5K, A8K, </t>
  </si>
  <si>
    <t>A5L, A8L</t>
  </si>
  <si>
    <t>A5M, A8M</t>
  </si>
  <si>
    <t>AR4, AV4</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</si>
  <si>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</si>
  <si>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</si>
  <si>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</si>
  <si>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</si>
  <si>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</si>
  <si>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</si>
  <si>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</si>
  <si>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LV Site Specific No Residual</t>
  </si>
  <si>
    <t>LDNO LV: LV Site Specific Band 1</t>
  </si>
  <si>
    <t>LDNO LV: LV Site Specific Band 2</t>
  </si>
  <si>
    <t>LDNO LV: LV Site Specific Band 3</t>
  </si>
  <si>
    <t>LDNO LV: LV Site Specific Band 4</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</si>
  <si>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</si>
  <si>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</si>
  <si>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</si>
  <si>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</si>
  <si>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</si>
  <si>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</si>
  <si>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</si>
  <si>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</si>
  <si>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</si>
  <si>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</si>
  <si>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</si>
  <si>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</si>
  <si>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</si>
  <si>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</si>
  <si>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</si>
  <si>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</si>
  <si>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</si>
  <si>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</si>
  <si>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</si>
  <si>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</si>
  <si>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</si>
  <si>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</si>
  <si>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</si>
  <si>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</si>
  <si>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</si>
  <si>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</si>
  <si>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</si>
  <si>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</si>
  <si>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</si>
  <si>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</si>
  <si>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</si>
  <si>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</si>
  <si>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</si>
  <si>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</si>
  <si>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</si>
  <si>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</si>
  <si>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</si>
  <si>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</si>
  <si>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</si>
  <si>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</si>
  <si>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</si>
  <si>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</si>
  <si>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</si>
  <si>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</si>
  <si>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</si>
  <si>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</si>
  <si>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</si>
  <si>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</si>
  <si>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</si>
  <si>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</si>
  <si>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</si>
  <si>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</si>
  <si>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</si>
  <si>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</si>
  <si>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</si>
  <si>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</si>
  <si>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</si>
  <si>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</si>
  <si>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</si>
  <si>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</si>
  <si>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</si>
  <si>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</si>
  <si>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</si>
  <si>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</si>
  <si>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</si>
  <si>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</si>
  <si>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</si>
  <si>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</si>
  <si>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</si>
  <si>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</si>
  <si>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</si>
  <si>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</si>
  <si>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</si>
  <si>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</si>
  <si>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</si>
  <si>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</si>
  <si>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</si>
  <si>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</si>
  <si>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</si>
  <si>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</si>
  <si>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</si>
  <si>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</si>
  <si>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</si>
  <si>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</si>
  <si>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</si>
  <si>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</si>
  <si>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</si>
  <si>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</si>
  <si>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</si>
  <si>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</si>
  <si>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</si>
  <si>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</si>
  <si>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</si>
  <si>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</si>
  <si>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</si>
  <si>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</si>
  <si>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</si>
  <si>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</si>
  <si>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</si>
  <si>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</si>
  <si>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</si>
  <si>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</si>
  <si>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</si>
  <si>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</si>
  <si>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</si>
  <si>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</si>
  <si>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</si>
  <si>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</si>
  <si>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</si>
  <si>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</si>
  <si>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</si>
  <si>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</si>
  <si>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</si>
  <si>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</si>
  <si>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</si>
  <si>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</si>
  <si>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</si>
  <si>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</si>
  <si>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</si>
  <si>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</si>
  <si>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</si>
  <si>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</si>
  <si>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</si>
  <si>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</si>
  <si>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</si>
  <si>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</si>
  <si>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</si>
  <si>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</si>
  <si>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</si>
  <si>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</si>
  <si>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</si>
  <si>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</si>
  <si>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3 to 8 or 0</t>
  </si>
  <si>
    <t>B0A, B3A, B6A</t>
  </si>
  <si>
    <t>B0B, B3B, B6B</t>
  </si>
  <si>
    <t>B0E, B3E, B6E</t>
  </si>
  <si>
    <t>B1A, B4A, B7A</t>
  </si>
  <si>
    <t>B1B, B4B, B7B</t>
  </si>
  <si>
    <t>B1C, B4C, B7C</t>
  </si>
  <si>
    <t>B1D, B4D, B7D</t>
  </si>
  <si>
    <t>B0L, B3L, B6L</t>
  </si>
  <si>
    <t>B0F, B3F, B6F</t>
  </si>
  <si>
    <t>B2A, B5A, B8A</t>
  </si>
  <si>
    <t>B2B, B5B, B8B</t>
  </si>
  <si>
    <t>B2C, B5C, B8C</t>
  </si>
  <si>
    <t>B2D, B5D, B8D</t>
  </si>
  <si>
    <t>B3G, B6G</t>
  </si>
  <si>
    <t>B5J, B8J</t>
  </si>
  <si>
    <t xml:space="preserve">B5K, B8K, </t>
  </si>
  <si>
    <t>B5L, B8L</t>
  </si>
  <si>
    <t>B5M, B8M</t>
  </si>
  <si>
    <t>B0U, B3U, B6U,</t>
  </si>
  <si>
    <t>BM1, BR1, BV1</t>
  </si>
  <si>
    <t>BM3, BR3, BV3</t>
  </si>
  <si>
    <t>BR4, BV4</t>
  </si>
  <si>
    <t>C0A, C3A, C6A</t>
  </si>
  <si>
    <t>C0B, C3B, C6B</t>
  </si>
  <si>
    <t>C0E, C3E, C6E</t>
  </si>
  <si>
    <t>C1A, C4A, C7A</t>
  </si>
  <si>
    <t>C1B, C4B, C7B</t>
  </si>
  <si>
    <t>C1C, C4C, C7C</t>
  </si>
  <si>
    <t>C1D, C4D, C7D</t>
  </si>
  <si>
    <t>C0L, C3L, C6L</t>
  </si>
  <si>
    <t>C0F, C3F, C6F</t>
  </si>
  <si>
    <t>C2A, C5A, C8A</t>
  </si>
  <si>
    <t>E0A,  E3A,  E6A</t>
  </si>
  <si>
    <t>E0B,  E3B,  E6B</t>
  </si>
  <si>
    <t>C2B, C5B, C8B</t>
  </si>
  <si>
    <t>C2C, C5C, C8C</t>
  </si>
  <si>
    <t>C2D, C5D, C8D</t>
  </si>
  <si>
    <t>C3G, C6G</t>
  </si>
  <si>
    <t>C5J, C8J</t>
  </si>
  <si>
    <t xml:space="preserve">C5K, C8K, </t>
  </si>
  <si>
    <t>C5L, C8L</t>
  </si>
  <si>
    <t>C5M, C8M</t>
  </si>
  <si>
    <t xml:space="preserve">C0U, C3U, C6U, </t>
  </si>
  <si>
    <t>CM1, CR1, CV1</t>
  </si>
  <si>
    <t>CM3, CR3, CV3</t>
  </si>
  <si>
    <t>CR4, CV4</t>
  </si>
  <si>
    <t>D0A, D3A, D6A</t>
  </si>
  <si>
    <t>D0B, D3B, D6B</t>
  </si>
  <si>
    <t>D0E, D3E, D6E</t>
  </si>
  <si>
    <t>D1A, D4A, D7A</t>
  </si>
  <si>
    <t>D1B, D4B, D7B</t>
  </si>
  <si>
    <t>D1C, D4C, D7C</t>
  </si>
  <si>
    <t>D1D, D4D, D7D</t>
  </si>
  <si>
    <t>D0L, D3L, D6L</t>
  </si>
  <si>
    <t>D0F, D3F, D6F</t>
  </si>
  <si>
    <t>D2A, D5A, D8A</t>
  </si>
  <si>
    <t>D2B, D5B, D8B</t>
  </si>
  <si>
    <t>D2C, D5C, D8C</t>
  </si>
  <si>
    <t>D2D, D5D, D8D</t>
  </si>
  <si>
    <t>D3G, D6G</t>
  </si>
  <si>
    <t>D5J, D8J</t>
  </si>
  <si>
    <t xml:space="preserve">D5K, D8K, </t>
  </si>
  <si>
    <t>D5L, D8L</t>
  </si>
  <si>
    <t>D5M, D8M</t>
  </si>
  <si>
    <t xml:space="preserve">D0U, D3U, D6U, </t>
  </si>
  <si>
    <t>DM1, DR1, DV1</t>
  </si>
  <si>
    <t>DM3, DR3, DV3</t>
  </si>
  <si>
    <t>DR4, DV4</t>
  </si>
  <si>
    <t>E0E, E3E, E6E</t>
  </si>
  <si>
    <t>E1A, E4A, E7A</t>
  </si>
  <si>
    <t>E1B, E4B, E7B</t>
  </si>
  <si>
    <t>E1C, E4C, E7C</t>
  </si>
  <si>
    <t>E1D, E4D, E7D</t>
  </si>
  <si>
    <t>E0L, E3L, E6L</t>
  </si>
  <si>
    <t>E0F, E3F, E6F</t>
  </si>
  <si>
    <t>E2A, E5A, E8A</t>
  </si>
  <si>
    <t>E2B, E5B, E8B</t>
  </si>
  <si>
    <t>E2C, E5C, E8C</t>
  </si>
  <si>
    <t>E2D, E5D, E8D</t>
  </si>
  <si>
    <t>E3G, E6G</t>
  </si>
  <si>
    <t>E5J, E8J</t>
  </si>
  <si>
    <t xml:space="preserve">E5K, E8K, </t>
  </si>
  <si>
    <t>E5L, E8L</t>
  </si>
  <si>
    <t>E5M, E8M</t>
  </si>
  <si>
    <t xml:space="preserve">E0U, E3U, E6U, </t>
  </si>
  <si>
    <t>EM1, ER1, EV1</t>
  </si>
  <si>
    <t>EM3, ER3, EV3</t>
  </si>
  <si>
    <t>ER4, EV4</t>
  </si>
  <si>
    <t>F0A, F3A, F6A</t>
  </si>
  <si>
    <t>F0B, F3B, F6B</t>
  </si>
  <si>
    <t>H0A, H3A, H6A</t>
  </si>
  <si>
    <t>H0B, H3B, H6B</t>
  </si>
  <si>
    <t>H0E, H3E, H6E</t>
  </si>
  <si>
    <t>H1A, H4A, H7A</t>
  </si>
  <si>
    <t>H1B, H4B, H7B</t>
  </si>
  <si>
    <t>H1C, H4C, H7C</t>
  </si>
  <si>
    <t>H1D, H4D, H7D</t>
  </si>
  <si>
    <t>H0L, H3L, H6L</t>
  </si>
  <si>
    <t>H2A, H5A, H8A</t>
  </si>
  <si>
    <t>H2B, H5B, H8B</t>
  </si>
  <si>
    <t>H2C, H5C, H8C</t>
  </si>
  <si>
    <t>H2D, H5D, H8D</t>
  </si>
  <si>
    <t>H3G, H6G</t>
  </si>
  <si>
    <t>H5J, H8J</t>
  </si>
  <si>
    <t xml:space="preserve">H5K, H8K, </t>
  </si>
  <si>
    <t>H5L, H8L</t>
  </si>
  <si>
    <t>H5M, H8M</t>
  </si>
  <si>
    <t xml:space="preserve">H0U, H3U, H6U, </t>
  </si>
  <si>
    <t>HM1, HR1, HV1</t>
  </si>
  <si>
    <t>HM3, HR3, HV3</t>
  </si>
  <si>
    <t>HR4, HV4</t>
  </si>
  <si>
    <t>G0A, G3A, G6A</t>
  </si>
  <si>
    <t>G0B, G3B, G6B</t>
  </si>
  <si>
    <t>G0E, G3E, G6E</t>
  </si>
  <si>
    <t>G1A, G4A, G7A</t>
  </si>
  <si>
    <t>G1B, G4B, G7B</t>
  </si>
  <si>
    <t>G1C, G4C, G7C</t>
  </si>
  <si>
    <t>G1D, G4D, G7D</t>
  </si>
  <si>
    <t>G0L, G3L, G6L</t>
  </si>
  <si>
    <t>G2A, G5A, G8A</t>
  </si>
  <si>
    <t>G2B, G5B, G8B</t>
  </si>
  <si>
    <t>G2C, G5C, G8C</t>
  </si>
  <si>
    <t>G2D, G5D, G8D</t>
  </si>
  <si>
    <t>G3G, G6G</t>
  </si>
  <si>
    <t>G5J, G8J</t>
  </si>
  <si>
    <t xml:space="preserve">G5K, G8K, </t>
  </si>
  <si>
    <t>G5L, G8L</t>
  </si>
  <si>
    <t>G5M, G8M</t>
  </si>
  <si>
    <t xml:space="preserve">G0U, G3U, G6U, </t>
  </si>
  <si>
    <t>GM1, GR1, GV1</t>
  </si>
  <si>
    <t>GM3, GR3, GV3</t>
  </si>
  <si>
    <t>GR4, GV4</t>
  </si>
  <si>
    <t>F0E, F3E, F6E</t>
  </si>
  <si>
    <t>F1A, F4A, F7A</t>
  </si>
  <si>
    <t>F1B, F4B, F7B</t>
  </si>
  <si>
    <t>F1C, F4C, F7C</t>
  </si>
  <si>
    <t>F1D, F4D, F7D</t>
  </si>
  <si>
    <t>F0L, F3L, F6L</t>
  </si>
  <si>
    <t>F2A, F5A, F8A</t>
  </si>
  <si>
    <t>F2B, F5B, F8B</t>
  </si>
  <si>
    <t>F2C, F5C, F8C</t>
  </si>
  <si>
    <t>F2D, F5D, F8D</t>
  </si>
  <si>
    <t>F3G, F6G</t>
  </si>
  <si>
    <t>F5J, F8J</t>
  </si>
  <si>
    <t xml:space="preserve">F5K, F8K, </t>
  </si>
  <si>
    <t>F5L, F8L</t>
  </si>
  <si>
    <t>F5M, F8M</t>
  </si>
  <si>
    <t xml:space="preserve">F0U, F3U, F6U, </t>
  </si>
  <si>
    <t>FM1, FR1, FV1</t>
  </si>
  <si>
    <t>FM3, FR3, FV3</t>
  </si>
  <si>
    <t>FR4, FV4</t>
  </si>
  <si>
    <t>J0A, J3A, J6A</t>
  </si>
  <si>
    <t>J0B, J3B, J6B</t>
  </si>
  <si>
    <t>J0E, J3E, J6E</t>
  </si>
  <si>
    <t>J1A, J4A, J7A</t>
  </si>
  <si>
    <t>J1B, J4B, J7B</t>
  </si>
  <si>
    <t>J1C, J4C, J7C</t>
  </si>
  <si>
    <t>J1D, J4D, J7D</t>
  </si>
  <si>
    <t>J0L, J3L, J6L</t>
  </si>
  <si>
    <t>J2A, J5A, J8A</t>
  </si>
  <si>
    <t>J2B, J5B, J8B</t>
  </si>
  <si>
    <t>J2C, J5C, J8C</t>
  </si>
  <si>
    <t>J2D, J5D, J8D</t>
  </si>
  <si>
    <t>J3G, J6G</t>
  </si>
  <si>
    <t>J5J, J8J</t>
  </si>
  <si>
    <t xml:space="preserve">J5K, J8K, </t>
  </si>
  <si>
    <t>J5L, J8L</t>
  </si>
  <si>
    <t>J5M, J8M</t>
  </si>
  <si>
    <t xml:space="preserve">J0U, J3U, J6U, </t>
  </si>
  <si>
    <t>JM1, JR1, JV1</t>
  </si>
  <si>
    <t>JM3, JR3, JV3</t>
  </si>
  <si>
    <t>JR4, JV4</t>
  </si>
  <si>
    <t>K0A, K3A, K6A</t>
  </si>
  <si>
    <t>K0B, K3B, K6B</t>
  </si>
  <si>
    <t>K0E, K3E, K6E</t>
  </si>
  <si>
    <t>K1A, K4A, K7A</t>
  </si>
  <si>
    <t>K1B, K4B, K7B</t>
  </si>
  <si>
    <t>K1C, K4C, K7C</t>
  </si>
  <si>
    <t>K1D, K4D, K7D</t>
  </si>
  <si>
    <t>K0L, K3L, K6L</t>
  </si>
  <si>
    <t>K2A, K5A, K8A</t>
  </si>
  <si>
    <t>K2B, K5B, K8B</t>
  </si>
  <si>
    <t>K2C, K5C, K8C</t>
  </si>
  <si>
    <t>K2D, K5D, K8D</t>
  </si>
  <si>
    <t>K3G, K6G</t>
  </si>
  <si>
    <t>K5J, K8J</t>
  </si>
  <si>
    <t xml:space="preserve">K5K, K8K, </t>
  </si>
  <si>
    <t>K5L, K8L</t>
  </si>
  <si>
    <t>K5M, K8M</t>
  </si>
  <si>
    <t xml:space="preserve">K0U, K3U, K6U, </t>
  </si>
  <si>
    <t>KM1, KR1, KV1</t>
  </si>
  <si>
    <t>KM3, KR3, KV3</t>
  </si>
  <si>
    <t>KR4, KV4</t>
  </si>
  <si>
    <t>L0A, L3A, L6A</t>
  </si>
  <si>
    <t>L0B, L3B, L6B</t>
  </si>
  <si>
    <t>L0E, L3E, L6E</t>
  </si>
  <si>
    <t>L1A, L4A, L7A</t>
  </si>
  <si>
    <t>L1B, L4B, L7B</t>
  </si>
  <si>
    <t>L1C, L4C, L7C</t>
  </si>
  <si>
    <t>L1D, L4D, L7D</t>
  </si>
  <si>
    <t>L0L, L3L, L6L</t>
  </si>
  <si>
    <t>L2A, L5A, L8A</t>
  </si>
  <si>
    <t>L2B, L5B, L8B</t>
  </si>
  <si>
    <t>L2C, L5C, L8C</t>
  </si>
  <si>
    <t>L2D, L5D, L8D</t>
  </si>
  <si>
    <t>L3G, L6G</t>
  </si>
  <si>
    <t>L5J, L8J</t>
  </si>
  <si>
    <t xml:space="preserve">L5K, L8K, </t>
  </si>
  <si>
    <t>L5L, L8L</t>
  </si>
  <si>
    <t>L5M, L8M</t>
  </si>
  <si>
    <t xml:space="preserve">L0U, L3U, L6U, </t>
  </si>
  <si>
    <t>LM1, LR1, LV1</t>
  </si>
  <si>
    <t>LM3, LR3, LV3</t>
  </si>
  <si>
    <t>LR4, LV4</t>
  </si>
  <si>
    <t>M0A, M3A, M6A</t>
  </si>
  <si>
    <t>M0B, M3B, M6B</t>
  </si>
  <si>
    <t>M0E, M3E, M6E</t>
  </si>
  <si>
    <t>M1A, M4A, M7A</t>
  </si>
  <si>
    <t>M1B, M4B, M7B</t>
  </si>
  <si>
    <t>M1C, M4C, M7C</t>
  </si>
  <si>
    <t>M1D, M4D, M7D</t>
  </si>
  <si>
    <t>M0L, M3L, M6L</t>
  </si>
  <si>
    <t>M2A, M5A, M8A</t>
  </si>
  <si>
    <t>M2B, M5B, M8B</t>
  </si>
  <si>
    <t>M2C, M5C, M8C</t>
  </si>
  <si>
    <t>M2D, M5D, M8D</t>
  </si>
  <si>
    <t>M3G, M6G</t>
  </si>
  <si>
    <t>M5J, M8J</t>
  </si>
  <si>
    <t xml:space="preserve">M5K, M8K, </t>
  </si>
  <si>
    <t>M5L, M8L</t>
  </si>
  <si>
    <t>M5M, M8M</t>
  </si>
  <si>
    <t xml:space="preserve">M0U, M3U, M6U, </t>
  </si>
  <si>
    <t>MM1, MR1, MV1</t>
  </si>
  <si>
    <t>MM3, MR3, MV3</t>
  </si>
  <si>
    <t>MR4, MV4</t>
  </si>
  <si>
    <t>N0A, N3A, N6A</t>
  </si>
  <si>
    <t>N0B, N3B, N6B</t>
  </si>
  <si>
    <t>N0E, N3E, N6E</t>
  </si>
  <si>
    <t>N1A, N4A, N7A</t>
  </si>
  <si>
    <t>N1B, N4B, N7B</t>
  </si>
  <si>
    <t>N1C, N4C, N7C</t>
  </si>
  <si>
    <t>N1D, N4D, N7D</t>
  </si>
  <si>
    <t>N0L, N3L, N6L</t>
  </si>
  <si>
    <t>N2A, N5A, N8A</t>
  </si>
  <si>
    <t>N2B, N5B, N8B</t>
  </si>
  <si>
    <t>N2C, N5C, N8C</t>
  </si>
  <si>
    <t>N2D, N5D, N8D</t>
  </si>
  <si>
    <t>N3G, N6G</t>
  </si>
  <si>
    <t>N5J, N8J</t>
  </si>
  <si>
    <t xml:space="preserve">N5K, N8K, </t>
  </si>
  <si>
    <t>N5L, N8L</t>
  </si>
  <si>
    <t>N5M, N8M</t>
  </si>
  <si>
    <t xml:space="preserve">N0U, N3U, N6U, </t>
  </si>
  <si>
    <t>NM1, NR1, NV1</t>
  </si>
  <si>
    <t>NM3, NR3, NV3</t>
  </si>
  <si>
    <t>NR4, NV4</t>
  </si>
  <si>
    <t>P0A, P3A, P6A</t>
  </si>
  <si>
    <t>P0B, P3B, P6B</t>
  </si>
  <si>
    <t>P0E, P3E, P6E</t>
  </si>
  <si>
    <t>P1A, P4A, P7A</t>
  </si>
  <si>
    <t>P1B, P4B, P7B</t>
  </si>
  <si>
    <t>P1C, P4C, P7C</t>
  </si>
  <si>
    <t>P1D, P4D, P7D</t>
  </si>
  <si>
    <t>P0L, P3L, P6L</t>
  </si>
  <si>
    <t>P2A, P5A, P8A</t>
  </si>
  <si>
    <t>P2B, P5B, P8B</t>
  </si>
  <si>
    <t>P2C, P5C, P8C</t>
  </si>
  <si>
    <t>P2D, P5D, P8D</t>
  </si>
  <si>
    <t>P3G, P6G</t>
  </si>
  <si>
    <t>P5J, P8J</t>
  </si>
  <si>
    <t xml:space="preserve">P5K, P8K, </t>
  </si>
  <si>
    <t>P5L, P8L</t>
  </si>
  <si>
    <t>P5M, P8M</t>
  </si>
  <si>
    <t xml:space="preserve">P0U, P3U, P6U, </t>
  </si>
  <si>
    <t>PM1, PR1, PV1</t>
  </si>
  <si>
    <t>PM3, PR3, PV3</t>
  </si>
  <si>
    <t>PR4, PV4</t>
  </si>
  <si>
    <t>Time Bands for LV and HV Designated Properties</t>
  </si>
  <si>
    <t>Time Bands for Unmetered Properties</t>
  </si>
  <si>
    <t>A0U, A3U, A6U</t>
  </si>
  <si>
    <t>F0F, F3F, F6F</t>
  </si>
  <si>
    <t>G0F, G3F, G6F</t>
  </si>
  <si>
    <t>H0F, H3F, H6F</t>
  </si>
  <si>
    <t>J0F, J3F, J6F</t>
  </si>
  <si>
    <t>K0F, K3F, K6F</t>
  </si>
  <si>
    <t>L0F, L3F, L6F</t>
  </si>
  <si>
    <t>M0F, M3F, M6F</t>
  </si>
  <si>
    <t>N0F, N3F, N6F</t>
  </si>
  <si>
    <t>P0F, P3F, P6F</t>
  </si>
  <si>
    <t>P0B</t>
  </si>
  <si>
    <t>P0E</t>
  </si>
  <si>
    <t>P1A</t>
  </si>
  <si>
    <t>P1B</t>
  </si>
  <si>
    <t>P1C</t>
  </si>
  <si>
    <t>P1D</t>
  </si>
  <si>
    <t>P0L</t>
  </si>
  <si>
    <t>P0F</t>
  </si>
  <si>
    <t>P2A</t>
  </si>
  <si>
    <t>P2B</t>
  </si>
  <si>
    <t>P2C</t>
  </si>
  <si>
    <t>P2D</t>
  </si>
  <si>
    <t>P0U</t>
  </si>
  <si>
    <t>PM1</t>
  </si>
  <si>
    <t>PM3</t>
  </si>
  <si>
    <t>P3A</t>
  </si>
  <si>
    <t>P3B</t>
  </si>
  <si>
    <t>P3E</t>
  </si>
  <si>
    <t>P4A</t>
  </si>
  <si>
    <t>P3L</t>
  </si>
  <si>
    <t>P3F</t>
  </si>
  <si>
    <t>P5A</t>
  </si>
  <si>
    <t>P4B</t>
  </si>
  <si>
    <t>P4C</t>
  </si>
  <si>
    <t>P4D</t>
  </si>
  <si>
    <t>P5B</t>
  </si>
  <si>
    <t>P5C</t>
  </si>
  <si>
    <t>P5D</t>
  </si>
  <si>
    <t>P3G</t>
  </si>
  <si>
    <t>P8J</t>
  </si>
  <si>
    <t>P8K</t>
  </si>
  <si>
    <t>P8L</t>
  </si>
  <si>
    <t>P8M</t>
  </si>
  <si>
    <t>P3U</t>
  </si>
  <si>
    <t>PR1</t>
  </si>
  <si>
    <t>PR3</t>
  </si>
  <si>
    <t>PV4</t>
  </si>
  <si>
    <t>PR4</t>
  </si>
  <si>
    <t>P6A</t>
  </si>
  <si>
    <t>P6B</t>
  </si>
  <si>
    <t>P6E</t>
  </si>
  <si>
    <t>P7A</t>
  </si>
  <si>
    <t>P7B</t>
  </si>
  <si>
    <t>P7C</t>
  </si>
  <si>
    <t>P7D</t>
  </si>
  <si>
    <t>P6L</t>
  </si>
  <si>
    <t>P6F</t>
  </si>
  <si>
    <t>P8A</t>
  </si>
  <si>
    <t>P8B</t>
  </si>
  <si>
    <t>P8C</t>
  </si>
  <si>
    <t>P8D</t>
  </si>
  <si>
    <t>P6G</t>
  </si>
  <si>
    <t>P6U</t>
  </si>
  <si>
    <t>PV1</t>
  </si>
  <si>
    <t>PV3</t>
  </si>
  <si>
    <t>P0A</t>
  </si>
  <si>
    <t>P5J</t>
  </si>
  <si>
    <t>P5K</t>
  </si>
  <si>
    <t>P5L</t>
  </si>
  <si>
    <t>P5M</t>
  </si>
  <si>
    <t>2023/24</t>
  </si>
  <si>
    <t>1 April 2023</t>
  </si>
  <si>
    <t>* All boundaries are inclusive of the upper threshold and exclusive of the lower threshold i.e. Lower &lt; x ≤ Upper.</t>
  </si>
  <si>
    <t>∞</t>
  </si>
  <si>
    <t>kVA</t>
  </si>
  <si>
    <t>Designated EHV Properties</t>
  </si>
  <si>
    <t>Designated Properties connected at HV</t>
  </si>
  <si>
    <t>Designated Properties connected at LV, billing with MIC</t>
  </si>
  <si>
    <t>kWh</t>
  </si>
  <si>
    <t>Designated Properties connected at LV, billing with no MIC</t>
  </si>
  <si>
    <t>Single band</t>
  </si>
  <si>
    <t>Upper Threshold*</t>
  </si>
  <si>
    <t>Lower Threshold*</t>
  </si>
  <si>
    <t>Units</t>
  </si>
  <si>
    <t>Band</t>
  </si>
  <si>
    <t>Voltage of Connection</t>
  </si>
  <si>
    <t>DRAFT</t>
  </si>
  <si>
    <t>A0A</t>
  </si>
  <si>
    <t>A4A</t>
  </si>
  <si>
    <t>A3A</t>
  </si>
  <si>
    <t>A5A</t>
  </si>
  <si>
    <t>A6A</t>
  </si>
  <si>
    <t>A0B</t>
  </si>
  <si>
    <t>A1A</t>
  </si>
  <si>
    <t>A1B</t>
  </si>
  <si>
    <t>A1C</t>
  </si>
  <si>
    <t>A1D</t>
  </si>
  <si>
    <t>A0E</t>
  </si>
  <si>
    <t>A0F</t>
  </si>
  <si>
    <t>A0L</t>
  </si>
  <si>
    <t>A2A</t>
  </si>
  <si>
    <t>A2B</t>
  </si>
  <si>
    <t>A2C</t>
  </si>
  <si>
    <t>A2D</t>
  </si>
  <si>
    <t>A0U</t>
  </si>
  <si>
    <t>AM1</t>
  </si>
  <si>
    <t>AM3</t>
  </si>
  <si>
    <t>A3B</t>
  </si>
  <si>
    <t>A3C</t>
  </si>
  <si>
    <t>A3D</t>
  </si>
  <si>
    <t>A4B</t>
  </si>
  <si>
    <t>A4C</t>
  </si>
  <si>
    <t>A4D</t>
  </si>
  <si>
    <t>A3E</t>
  </si>
  <si>
    <t>A3L</t>
  </si>
  <si>
    <t>A3F</t>
  </si>
  <si>
    <t>A5B</t>
  </si>
  <si>
    <t>A5C</t>
  </si>
  <si>
    <t>A5D</t>
  </si>
  <si>
    <t>A3U</t>
  </si>
  <si>
    <t>AR1</t>
  </si>
  <si>
    <t>AR3</t>
  </si>
  <si>
    <t>AR4</t>
  </si>
  <si>
    <t>A6B</t>
  </si>
  <si>
    <t>A6E</t>
  </si>
  <si>
    <t>A7A</t>
  </si>
  <si>
    <t>A7B</t>
  </si>
  <si>
    <t>A7C</t>
  </si>
  <si>
    <t>A7D</t>
  </si>
  <si>
    <t>A6L</t>
  </si>
  <si>
    <t>A6F</t>
  </si>
  <si>
    <t>A8A</t>
  </si>
  <si>
    <t>A8B</t>
  </si>
  <si>
    <t>A8C</t>
  </si>
  <si>
    <t>A8D</t>
  </si>
  <si>
    <t>A6U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</si>
</sst>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0"/>
    <numFmt numFmtId="174" formatCode="0.000_ ;[Red]\-0.000\ "/>
    <numFmt numFmtId="175" formatCode="0.00;[Red]\-0.00;?;"/>
    <numFmt numFmtId="176" formatCode="#,##0;\-#,##0;;"/>
    <numFmt numFmtId="177" formatCode="#,##0;[Red]\-#,##0;;"/>
    <numFmt numFmtId="178" formatCode="0.000;[Red]\-0.000;?;"/>
    <numFmt numFmtId="179" formatCode="0.000_ ;\-0.000\ "/>
    <numFmt numFmtId="180" formatCode="[Black]General;[Black]\-General;;[Black]@"/>
    <numFmt numFmtId="181" formatCode=";;"/>
    <numFmt numFmtId="182" formatCode="#,##0.000;[Red]#,##0.000"/>
    <numFmt numFmtId="183" formatCode="#,##0.00;[Red]#,##0.00"/>
    <numFmt numFmtId="184" formatCode="_-* #,##0.000_-;\-* #,##0.000_-;_-* &quot;-&quot;??_-;_-@_-"/>
    <numFmt numFmtId="185" formatCode="0.000;\(0.000\);"/>
    <numFmt numFmtId="186" formatCode="0.00;\(0.00\);"/>
    <numFmt numFmtId="187" formatCode="&quot;£&quot;#,##0.00"/>
    <numFmt numFmtId="188" formatCode="#,##0_ ;\-#,##0\ "/>
    <numFmt numFmtId="189" formatCode="0.000;\-0.000;;@\,"/>
    <numFmt numFmtId="190" formatCode="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0"/>
      <name val="Arial"/>
      <family val="2"/>
    </font>
    <font>
      <sz val="14"/>
      <name val="Arial"/>
      <family val="2"/>
    </font>
    <font>
      <b/>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10"/>
      <color rgb="FF9C6500"/>
      <name val="Arial"/>
      <family val="2"/>
    </font>
    <font>
      <b/>
      <sz val="11"/>
      <color rgb="FFFF00FF"/>
      <name val="Arial"/>
      <family val="2"/>
    </font>
    <font>
      <b/>
      <sz val="14"/>
      <color rgb="FF1F497D"/>
      <name val="Arial"/>
      <family val="2"/>
    </font>
    <font>
      <b/>
      <sz val="10"/>
      <color rgb="FFFFFFFF"/>
      <name val="Arial"/>
      <family val="2"/>
    </font>
    <font>
      <sz val="10"/>
      <color rgb="FF000000"/>
      <name val="Arial"/>
      <family val="2"/>
    </font>
    <font>
      <b/>
      <sz val="14"/>
      <color rgb="FFFFFFFF"/>
      <name val="Arial"/>
      <family val="2"/>
    </font>
    <font>
      <sz val="11"/>
      <color rgb="FF000000"/>
      <name val="Calibri"/>
      <family val="2"/>
    </font>
    <font>
      <b/>
      <sz val="10"/>
      <color rgb="FF000000"/>
      <name val="Arial"/>
      <family val="2"/>
    </font>
    <font>
      <sz val="10"/>
      <color rgb="FF000000"/>
      <name val="Calibri"/>
      <family val="2"/>
    </font>
    <font>
      <sz val="10"/>
      <name val="Arial"/>
      <family val="2"/>
    </font>
    <font>
      <i/>
      <sz val="10"/>
      <name val="Arial"/>
      <family val="2"/>
    </font>
    <font>
      <sz val="10"/>
      <color indexed="8"/>
      <name val="Arial"/>
      <family val="2"/>
    </font>
    <font>
      <b/>
      <sz val="11"/>
      <color indexed="8"/>
      <name val="Arial"/>
      <family val="2"/>
    </font>
    <font>
      <sz val="8"/>
      <name val="Arial"/>
      <family val="2"/>
    </font>
    <font>
      <b/>
      <sz val="10"/>
      <name val="Trebuchet MS"/>
      <family val="2"/>
    </font>
    <font>
      <b/>
      <sz val="11"/>
      <color theme="0"/>
      <name val="Trebuchet MS"/>
      <family val="2"/>
    </font>
    <font>
      <b/>
      <sz val="11"/>
      <name val="Trebuchet MS"/>
      <family val="2"/>
    </font>
    <font>
      <b/>
      <sz val="11"/>
      <color indexed="8"/>
      <name val="Trebuchet MS"/>
      <family val="2"/>
    </font>
    <font>
      <sz val="20"/>
      <color rgb="FFFF0000"/>
      <name val="Arial"/>
      <family val="2"/>
    </font>
    <font>
      <sz val="10"/>
      <name val="Arial"/>
    </font>
    <font>
      <u/>
      <sz val="11"/>
      <color theme="5"/>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EB9C"/>
      </patternFill>
    </fill>
    <fill>
      <patternFill patternType="solid">
        <fgColor theme="0" tint="-0.249977111117893"/>
        <bgColor indexed="64"/>
      </patternFill>
    </fill>
    <fill>
      <patternFill patternType="solid">
        <fgColor rgb="FFB8CCE4"/>
        <bgColor rgb="FFFFFFFF"/>
      </patternFill>
    </fill>
    <fill>
      <patternFill patternType="solid">
        <fgColor rgb="FFFFFFFF"/>
        <bgColor rgb="FF000000"/>
      </patternFill>
    </fill>
    <fill>
      <patternFill patternType="solid">
        <fgColor rgb="FFFFCC99"/>
        <bgColor rgb="FF000000"/>
      </patternFill>
    </fill>
    <fill>
      <patternFill patternType="solid">
        <fgColor rgb="FFFF0000"/>
        <bgColor rgb="FF000000"/>
      </patternFill>
    </fill>
    <fill>
      <patternFill patternType="solid">
        <fgColor rgb="FFCCFFCC"/>
        <bgColor rgb="FF000000"/>
      </patternFill>
    </fill>
    <fill>
      <patternFill patternType="solid">
        <fgColor rgb="FFFFFFCC"/>
        <bgColor rgb="FF000000"/>
      </patternFill>
    </fill>
    <fill>
      <patternFill patternType="solid">
        <fgColor rgb="FFDDD9C3"/>
        <bgColor rgb="FF000000"/>
      </patternFill>
    </fill>
    <fill>
      <patternFill patternType="solid">
        <fgColor rgb="FFD7E4BC"/>
        <bgColor rgb="FF000000"/>
      </patternFill>
    </fill>
    <fill>
      <patternFill patternType="solid">
        <fgColor rgb="FFEEECE1"/>
        <bgColor rgb="FF000000"/>
      </patternFill>
    </fill>
    <fill>
      <patternFill patternType="solid">
        <fgColor rgb="FFEAF1DD"/>
        <bgColor rgb="FF000000"/>
      </patternFill>
    </fill>
    <fill>
      <patternFill patternType="solid">
        <fgColor rgb="FFC0C0C0"/>
        <bgColor rgb="FF000000"/>
      </patternFill>
    </fill>
    <fill>
      <patternFill patternType="solid">
        <fgColor theme="0"/>
        <bgColor rgb="FF000000"/>
      </patternFill>
    </fill>
    <fill>
      <patternFill patternType="solid">
        <fgColor theme="0"/>
        <bgColor indexed="55"/>
      </patternFill>
    </fill>
    <fill>
      <patternFill patternType="solid">
        <fgColor theme="0" tint="-0.34998626667073579"/>
        <bgColor indexed="64"/>
      </patternFill>
    </fill>
    <fill>
      <patternFill patternType="solid">
        <fgColor rgb="FFC0C0C0"/>
        <bgColor indexed="64"/>
      </patternFill>
    </fill>
    <fill>
      <patternFill patternType="solid">
        <fgColor rgb="FFBFBFB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FFFFFF"/>
      </left>
      <right style="thin">
        <color rgb="FFFFFFFF"/>
      </right>
      <top/>
      <bottom style="thin">
        <color rgb="FFFFFFFF"/>
      </bottom>
      <diagonal/>
    </border>
    <border>
      <left style="thin">
        <color rgb="FFFFFFFF"/>
      </left>
      <right/>
      <top style="thin">
        <color indexed="64"/>
      </top>
      <bottom style="thin">
        <color indexed="64"/>
      </bottom>
      <diagonal/>
    </border>
    <border>
      <left/>
      <right style="thin">
        <color rgb="FFFFFFFF"/>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style="thin">
        <color theme="0"/>
      </right>
      <top style="thin">
        <color indexed="64"/>
      </top>
      <bottom/>
      <diagonal/>
    </border>
    <border>
      <left style="thin">
        <color indexed="64"/>
      </left>
      <right style="thin">
        <color indexed="64"/>
      </right>
      <top/>
      <bottom/>
      <diagonal/>
    </border>
    <border>
      <left style="thin">
        <color rgb="FF999999"/>
      </left>
      <right/>
      <top/>
      <bottom/>
      <diagonal/>
    </border>
  </borders>
  <cellStyleXfs count="30">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7" fillId="0" borderId="9" applyNumberFormat="0" applyFill="0" applyAlignment="0" applyProtection="0"/>
    <xf numFmtId="0" fontId="11" fillId="0" borderId="10" applyNumberFormat="0" applyFill="0" applyAlignment="0" applyProtection="0"/>
    <xf numFmtId="0" fontId="7" fillId="0" borderId="0"/>
    <xf numFmtId="43" fontId="7" fillId="0" borderId="0" applyFont="0" applyFill="0" applyBorder="0" applyAlignment="0" applyProtection="0"/>
    <xf numFmtId="0" fontId="22" fillId="18" borderId="0" applyNumberFormat="0" applyBorder="0" applyAlignment="0" applyProtection="0"/>
    <xf numFmtId="0" fontId="5" fillId="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5" fillId="21" borderId="0" applyNumberFormat="0" applyBorder="0" applyAlignment="0" applyProtection="0"/>
    <xf numFmtId="0" fontId="22" fillId="22" borderId="0" applyNumberFormat="0" applyBorder="0" applyAlignment="0" applyProtection="0"/>
    <xf numFmtId="0" fontId="27" fillId="0" borderId="0"/>
    <xf numFmtId="0" fontId="29" fillId="27" borderId="0" applyNumberFormat="0" applyBorder="0" applyAlignment="0" applyProtection="0"/>
    <xf numFmtId="0" fontId="3" fillId="0" borderId="0"/>
    <xf numFmtId="9" fontId="3" fillId="0" borderId="0" applyFont="0" applyFill="0" applyBorder="0" applyAlignment="0" applyProtection="0"/>
    <xf numFmtId="0" fontId="2" fillId="0" borderId="0"/>
    <xf numFmtId="43" fontId="38" fillId="0" borderId="0" applyFont="0" applyFill="0" applyBorder="0" applyAlignment="0" applyProtection="0"/>
    <xf numFmtId="0" fontId="40" fillId="0" borderId="0"/>
    <xf numFmtId="43" fontId="7" fillId="0" borderId="0" applyFont="0" applyFill="0" applyBorder="0" applyAlignment="0" applyProtection="0"/>
    <xf numFmtId="0" fontId="4" fillId="6" borderId="0" applyNumberFormat="0" applyBorder="0" applyAlignment="0" applyProtection="0"/>
    <xf numFmtId="0" fontId="4" fillId="21" borderId="0" applyNumberFormat="0" applyBorder="0" applyAlignment="0" applyProtection="0"/>
    <xf numFmtId="0" fontId="1" fillId="0" borderId="0"/>
    <xf numFmtId="0" fontId="4" fillId="6" borderId="0" applyNumberFormat="0" applyBorder="0" applyAlignment="0" applyProtection="0"/>
    <xf numFmtId="0" fontId="4" fillId="21" borderId="0" applyNumberFormat="0" applyBorder="0" applyAlignment="0" applyProtection="0"/>
    <xf numFmtId="0" fontId="1" fillId="0" borderId="0" applyNumberFormat="0" applyFill="0" applyBorder="0" applyAlignment="0" applyProtection="0">
      <alignment horizontal="left"/>
    </xf>
    <xf numFmtId="0" fontId="49" fillId="0" borderId="35" applyNumberFormat="0" applyFill="0" applyBorder="0" applyAlignment="0" applyProtection="0"/>
    <xf numFmtId="43" fontId="48" fillId="0" borderId="0" applyFont="0" applyFill="0" applyBorder="0" applyAlignment="0" applyProtection="0"/>
  </cellStyleXfs>
  <cellXfs count="728">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0" fontId="7" fillId="0" borderId="0" xfId="6" applyAlignment="1">
      <alignment horizontal="center" vertical="top" wrapText="1"/>
    </xf>
    <xf numFmtId="0" fontId="7" fillId="0" borderId="0" xfId="6"/>
    <xf numFmtId="0" fontId="7" fillId="0" borderId="0" xfId="6" applyAlignment="1">
      <alignment horizontal="left"/>
    </xf>
    <xf numFmtId="0" fontId="7" fillId="0" borderId="0" xfId="6" applyAlignment="1">
      <alignment horizontal="center" vertical="center" wrapText="1"/>
    </xf>
    <xf numFmtId="49" fontId="19" fillId="8" borderId="1" xfId="0" applyNumberFormat="1" applyFont="1" applyFill="1" applyBorder="1" applyAlignment="1" applyProtection="1">
      <alignment horizontal="center" vertical="center" wrapText="1"/>
      <protection locked="0"/>
    </xf>
    <xf numFmtId="174" fontId="19" fillId="9"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164" fontId="19" fillId="10" borderId="1" xfId="0" applyNumberFormat="1" applyFont="1" applyFill="1" applyBorder="1" applyAlignment="1" applyProtection="1">
      <alignment horizontal="center" vertical="center"/>
      <protection locked="0"/>
    </xf>
    <xf numFmtId="0" fontId="0" fillId="12" borderId="0" xfId="0" applyFill="1"/>
    <xf numFmtId="0" fontId="13" fillId="2" borderId="0" xfId="3" applyFont="1" applyFill="1" applyAlignment="1" applyProtection="1">
      <alignment vertical="center"/>
    </xf>
    <xf numFmtId="0" fontId="7" fillId="2" borderId="8" xfId="6" quotePrefix="1" applyFont="1" applyFill="1" applyBorder="1" applyAlignment="1">
      <alignment vertical="center" wrapText="1"/>
    </xf>
    <xf numFmtId="0" fontId="8" fillId="7" borderId="1" xfId="6" applyFont="1" applyFill="1" applyBorder="1" applyAlignment="1">
      <alignment horizontal="center" vertical="center" wrapText="1"/>
    </xf>
    <xf numFmtId="0" fontId="7" fillId="0" borderId="0" xfId="0" applyFont="1" applyProtection="1">
      <protection locked="0"/>
    </xf>
    <xf numFmtId="49" fontId="11" fillId="6" borderId="0" xfId="1" quotePrefix="1" applyNumberFormat="1" applyFont="1" applyFill="1" applyAlignment="1" applyProtection="1">
      <alignment horizontal="left" vertical="center" wrapText="1"/>
      <protection locked="0"/>
    </xf>
    <xf numFmtId="49" fontId="11" fillId="6" borderId="0" xfId="1" applyNumberFormat="1" applyFont="1" applyFill="1" applyAlignment="1" applyProtection="1">
      <alignment vertical="center" wrapText="1"/>
      <protection locked="0"/>
    </xf>
    <xf numFmtId="49" fontId="17" fillId="0" borderId="0" xfId="4" applyNumberFormat="1" applyFont="1" applyBorder="1" applyAlignment="1" applyProtection="1">
      <alignment vertical="center"/>
      <protection locked="0"/>
    </xf>
    <xf numFmtId="0" fontId="7" fillId="0" borderId="0" xfId="0" applyFont="1" applyBorder="1" applyProtection="1">
      <protection locked="0"/>
    </xf>
    <xf numFmtId="49" fontId="11" fillId="6" borderId="0" xfId="1" applyNumberFormat="1" applyFont="1" applyFill="1" applyBorder="1" applyAlignment="1" applyProtection="1">
      <alignment vertical="center" wrapText="1"/>
      <protection locked="0"/>
    </xf>
    <xf numFmtId="49" fontId="11" fillId="0" borderId="0" xfId="5" applyNumberFormat="1" applyFont="1" applyBorder="1" applyAlignment="1" applyProtection="1">
      <alignment vertical="center"/>
      <protection locked="0"/>
    </xf>
    <xf numFmtId="0" fontId="8" fillId="7" borderId="6" xfId="0" applyFont="1" applyFill="1" applyBorder="1" applyAlignment="1" applyProtection="1">
      <alignment vertical="center" wrapText="1"/>
      <protection locked="0"/>
    </xf>
    <xf numFmtId="0" fontId="0" fillId="12" borderId="0" xfId="0" applyFill="1" applyAlignment="1">
      <alignment vertical="center"/>
    </xf>
    <xf numFmtId="0" fontId="23" fillId="15" borderId="1" xfId="0" applyFont="1" applyFill="1" applyBorder="1" applyAlignment="1" applyProtection="1">
      <alignment horizontal="center" vertical="center" wrapText="1"/>
      <protection locked="0"/>
    </xf>
    <xf numFmtId="0" fontId="23" fillId="16" borderId="1" xfId="0" applyFont="1" applyFill="1" applyBorder="1" applyAlignment="1" applyProtection="1">
      <alignment horizontal="center" vertical="center" wrapText="1"/>
      <protection locked="0"/>
    </xf>
    <xf numFmtId="0" fontId="8" fillId="17" borderId="1" xfId="0" applyFont="1" applyFill="1" applyBorder="1" applyAlignment="1" applyProtection="1">
      <alignment horizontal="center" vertical="center" wrapText="1"/>
      <protection locked="0"/>
    </xf>
    <xf numFmtId="0" fontId="16" fillId="12" borderId="0" xfId="1" applyNumberFormat="1" applyFont="1" applyFill="1" applyBorder="1" applyAlignment="1">
      <alignment horizontal="center" vertical="center" wrapText="1"/>
    </xf>
    <xf numFmtId="0" fontId="0" fillId="12" borderId="0" xfId="0" applyFill="1" applyBorder="1"/>
    <xf numFmtId="0" fontId="0" fillId="12" borderId="0" xfId="0" applyFill="1" applyBorder="1" applyAlignment="1">
      <alignment vertical="center"/>
    </xf>
    <xf numFmtId="0" fontId="16" fillId="12" borderId="0" xfId="1" applyNumberFormat="1" applyFont="1" applyFill="1" applyBorder="1" applyAlignment="1" applyProtection="1">
      <alignment horizontal="center" vertical="center" wrapText="1"/>
    </xf>
    <xf numFmtId="0" fontId="16" fillId="12" borderId="12" xfId="1" applyNumberFormat="1" applyFont="1" applyFill="1" applyBorder="1" applyAlignment="1">
      <alignment horizontal="center" vertical="center" wrapText="1"/>
    </xf>
    <xf numFmtId="0" fontId="8" fillId="12" borderId="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16" fillId="12" borderId="0" xfId="1" applyNumberFormat="1" applyFont="1" applyFill="1" applyBorder="1" applyAlignment="1">
      <alignment vertical="center" wrapText="1"/>
    </xf>
    <xf numFmtId="14" fontId="7" fillId="0" borderId="0" xfId="6" applyNumberFormat="1"/>
    <xf numFmtId="0" fontId="7" fillId="0" borderId="0" xfId="6" quotePrefix="1" applyAlignment="1">
      <alignment horizontal="left"/>
    </xf>
    <xf numFmtId="0" fontId="13" fillId="0" borderId="0" xfId="3" applyAlignment="1" applyProtection="1"/>
    <xf numFmtId="0" fontId="13" fillId="2" borderId="0" xfId="3" applyFont="1" applyFill="1" applyAlignment="1" applyProtection="1">
      <alignment vertical="center"/>
      <protection hidden="1"/>
    </xf>
    <xf numFmtId="172" fontId="7" fillId="24" borderId="0" xfId="6" applyNumberFormat="1" applyFill="1"/>
    <xf numFmtId="173" fontId="7" fillId="24" borderId="0" xfId="6" applyNumberFormat="1" applyFill="1"/>
    <xf numFmtId="0" fontId="7" fillId="24" borderId="0" xfId="6" applyFill="1"/>
    <xf numFmtId="0" fontId="7" fillId="24" borderId="0" xfId="6" applyFill="1" applyAlignment="1">
      <alignment horizontal="left"/>
    </xf>
    <xf numFmtId="0" fontId="7" fillId="11" borderId="1" xfId="13" applyFont="1" applyFill="1" applyBorder="1" applyAlignment="1" applyProtection="1">
      <alignment vertical="center"/>
      <protection locked="0"/>
    </xf>
    <xf numFmtId="176" fontId="7" fillId="26"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6"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3"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6" fontId="5" fillId="25" borderId="1" xfId="9" applyNumberFormat="1" applyFill="1" applyBorder="1" applyAlignment="1" applyProtection="1">
      <alignment vertical="center"/>
      <protection locked="0"/>
    </xf>
    <xf numFmtId="177" fontId="5" fillId="25" borderId="1" xfId="9" applyNumberFormat="1" applyFill="1" applyBorder="1" applyAlignment="1" applyProtection="1">
      <alignment vertical="center"/>
    </xf>
    <xf numFmtId="177" fontId="7" fillId="26" borderId="1" xfId="10" applyNumberFormat="1" applyFont="1" applyFill="1" applyBorder="1" applyAlignment="1" applyProtection="1">
      <alignment vertical="center"/>
    </xf>
    <xf numFmtId="178" fontId="5" fillId="25" borderId="5" xfId="9" applyNumberFormat="1" applyFill="1" applyBorder="1" applyAlignment="1" applyProtection="1">
      <alignment vertical="center"/>
    </xf>
    <xf numFmtId="0" fontId="26" fillId="0" borderId="0" xfId="6" applyFont="1"/>
    <xf numFmtId="49" fontId="11" fillId="6" borderId="0" xfId="1" quotePrefix="1" applyNumberFormat="1" applyFont="1" applyFill="1" applyAlignment="1" applyProtection="1">
      <alignment horizontal="center" vertical="center" wrapText="1"/>
      <protection locked="0"/>
    </xf>
    <xf numFmtId="0" fontId="13" fillId="0" borderId="0" xfId="3" applyFont="1" applyFill="1" applyAlignment="1" applyProtection="1">
      <alignment horizontal="left" vertical="center"/>
    </xf>
    <xf numFmtId="0" fontId="7" fillId="0" borderId="0" xfId="6" quotePrefix="1" applyFont="1" applyAlignment="1">
      <alignment horizontal="left"/>
    </xf>
    <xf numFmtId="0" fontId="7" fillId="0" borderId="0" xfId="6" applyFont="1"/>
    <xf numFmtId="49" fontId="17" fillId="0" borderId="0" xfId="4" quotePrefix="1" applyNumberFormat="1" applyFont="1" applyBorder="1" applyAlignment="1" applyProtection="1">
      <alignment horizontal="left" vertical="center"/>
      <protection locked="0"/>
    </xf>
    <xf numFmtId="164" fontId="19" fillId="10" borderId="1" xfId="0" applyNumberFormat="1" applyFont="1" applyFill="1" applyBorder="1" applyAlignment="1" applyProtection="1">
      <alignment horizontal="center" vertical="center"/>
    </xf>
    <xf numFmtId="0" fontId="7" fillId="12" borderId="1" xfId="0" applyFont="1" applyFill="1" applyBorder="1" applyAlignment="1">
      <alignment horizontal="center" vertical="center" wrapText="1"/>
    </xf>
    <xf numFmtId="0" fontId="7" fillId="2" borderId="0" xfId="6" applyFill="1" applyAlignment="1">
      <alignment vertical="center"/>
    </xf>
    <xf numFmtId="0" fontId="7" fillId="2" borderId="0" xfId="6" applyFill="1"/>
    <xf numFmtId="0" fontId="7" fillId="12" borderId="0" xfId="6" applyFill="1" applyBorder="1"/>
    <xf numFmtId="0" fontId="7" fillId="12" borderId="0" xfId="6" applyFill="1" applyBorder="1" applyAlignment="1">
      <alignment vertical="center"/>
    </xf>
    <xf numFmtId="0" fontId="23" fillId="13" borderId="1" xfId="6" applyFont="1" applyFill="1" applyBorder="1" applyAlignment="1" applyProtection="1">
      <alignment horizontal="center" vertical="center" wrapText="1"/>
      <protection locked="0"/>
    </xf>
    <xf numFmtId="0" fontId="23" fillId="15" borderId="1" xfId="6" applyFont="1" applyFill="1" applyBorder="1" applyAlignment="1" applyProtection="1">
      <alignment horizontal="center" vertical="center" wrapText="1"/>
      <protection locked="0"/>
    </xf>
    <xf numFmtId="0" fontId="23" fillId="16" borderId="1" xfId="6" applyFont="1" applyFill="1" applyBorder="1" applyAlignment="1" applyProtection="1">
      <alignment horizontal="center" vertical="center" wrapText="1"/>
      <protection locked="0"/>
    </xf>
    <xf numFmtId="0" fontId="8" fillId="17" borderId="1" xfId="6" applyFont="1" applyFill="1" applyBorder="1" applyAlignment="1" applyProtection="1">
      <alignment horizontal="center" vertical="center" wrapText="1"/>
      <protection locked="0"/>
    </xf>
    <xf numFmtId="0" fontId="7" fillId="0" borderId="6" xfId="6" applyFont="1" applyBorder="1" applyAlignment="1">
      <alignment horizontal="center" vertical="center" wrapText="1"/>
    </xf>
    <xf numFmtId="0" fontId="7" fillId="12"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4" borderId="1" xfId="6" applyFont="1" applyFill="1" applyBorder="1" applyAlignment="1">
      <alignment horizontal="center" vertical="center" wrapText="1"/>
    </xf>
    <xf numFmtId="0" fontId="7" fillId="12" borderId="0" xfId="6" applyFill="1"/>
    <xf numFmtId="0" fontId="7" fillId="12" borderId="0" xfId="6" applyFill="1" applyAlignment="1">
      <alignment vertical="center"/>
    </xf>
    <xf numFmtId="0" fontId="7" fillId="2" borderId="0" xfId="6" applyFill="1" applyAlignment="1">
      <alignment horizontal="center" vertical="center"/>
    </xf>
    <xf numFmtId="2" fontId="7" fillId="2" borderId="0" xfId="6" applyNumberFormat="1" applyFill="1" applyAlignment="1">
      <alignment horizontal="center" vertical="center"/>
    </xf>
    <xf numFmtId="164" fontId="7" fillId="2" borderId="0" xfId="6" applyNumberFormat="1" applyFill="1" applyAlignment="1">
      <alignment horizontal="center" vertical="center"/>
    </xf>
    <xf numFmtId="165" fontId="7" fillId="2" borderId="0" xfId="6" applyNumberFormat="1" applyFill="1" applyAlignment="1">
      <alignment horizontal="center" vertical="center"/>
    </xf>
    <xf numFmtId="0" fontId="8" fillId="0" borderId="6" xfId="0" applyFont="1" applyBorder="1" applyAlignment="1">
      <alignment horizontal="left" vertical="center" wrapText="1" indent="1"/>
    </xf>
    <xf numFmtId="174" fontId="20" fillId="13" borderId="1" xfId="0" applyNumberFormat="1" applyFont="1" applyFill="1" applyBorder="1" applyAlignment="1" applyProtection="1">
      <alignment horizontal="center" vertical="center"/>
      <protection locked="0"/>
    </xf>
    <xf numFmtId="174" fontId="19" fillId="14" borderId="1" xfId="0" applyNumberFormat="1" applyFont="1" applyFill="1" applyBorder="1" applyAlignment="1" applyProtection="1">
      <alignment horizontal="center" vertical="center"/>
      <protection locked="0"/>
    </xf>
    <xf numFmtId="174" fontId="20" fillId="15" borderId="1" xfId="0" applyNumberFormat="1" applyFont="1" applyFill="1" applyBorder="1" applyAlignment="1" applyProtection="1">
      <alignment horizontal="center" vertical="center"/>
      <protection locked="0"/>
    </xf>
    <xf numFmtId="0" fontId="7" fillId="28"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5" xfId="0" applyFont="1" applyFill="1" applyBorder="1" applyAlignment="1">
      <alignment vertical="center" wrapText="1"/>
    </xf>
    <xf numFmtId="0" fontId="13" fillId="0" borderId="0" xfId="3" applyFont="1" applyFill="1" applyAlignment="1" applyProtection="1">
      <alignment vertical="center"/>
      <protection hidden="1"/>
    </xf>
    <xf numFmtId="181" fontId="7" fillId="4" borderId="1" xfId="0"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16"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13" fillId="2" borderId="0" xfId="3" applyFont="1" applyFill="1" applyAlignment="1" applyProtection="1">
      <alignment horizontal="left" vertical="center"/>
    </xf>
    <xf numFmtId="0" fontId="7" fillId="2" borderId="8" xfId="0" quotePrefix="1" applyFont="1" applyFill="1" applyBorder="1" applyAlignment="1" applyProtection="1">
      <alignment vertical="center" wrapText="1"/>
    </xf>
    <xf numFmtId="0" fontId="7" fillId="2" borderId="0" xfId="6" applyFont="1" applyFill="1" applyAlignment="1" applyProtection="1">
      <alignment vertical="center"/>
    </xf>
    <xf numFmtId="0" fontId="9" fillId="2" borderId="0" xfId="6" applyFont="1" applyFill="1" applyAlignment="1" applyProtection="1">
      <alignment vertical="center"/>
    </xf>
    <xf numFmtId="0" fontId="9" fillId="12" borderId="0" xfId="6" applyFont="1" applyFill="1" applyBorder="1" applyAlignment="1" applyProtection="1">
      <alignment vertical="center"/>
    </xf>
    <xf numFmtId="0" fontId="31" fillId="30" borderId="0" xfId="1" applyNumberFormat="1" applyFont="1" applyFill="1" applyBorder="1" applyAlignment="1" applyProtection="1">
      <alignment horizontal="center" vertical="center" wrapText="1"/>
    </xf>
    <xf numFmtId="43" fontId="31" fillId="30" borderId="0" xfId="7" applyFont="1" applyFill="1" applyBorder="1" applyAlignment="1" applyProtection="1">
      <alignment horizontal="center" vertical="center" wrapText="1"/>
    </xf>
    <xf numFmtId="0" fontId="8" fillId="7" borderId="1" xfId="6" applyFont="1" applyFill="1" applyBorder="1" applyAlignment="1" applyProtection="1">
      <alignment horizontal="center" vertical="center" wrapText="1"/>
    </xf>
    <xf numFmtId="0" fontId="8" fillId="7" borderId="1" xfId="6" quotePrefix="1" applyFont="1" applyFill="1" applyBorder="1" applyAlignment="1" applyProtection="1">
      <alignment horizontal="center" vertical="center" wrapText="1"/>
    </xf>
    <xf numFmtId="49" fontId="21" fillId="7" borderId="1" xfId="6" applyNumberFormat="1" applyFont="1" applyFill="1" applyBorder="1" applyAlignment="1" applyProtection="1">
      <alignment horizontal="center" vertical="center" wrapText="1"/>
    </xf>
    <xf numFmtId="49" fontId="8" fillId="7" borderId="1" xfId="6" applyNumberFormat="1" applyFont="1" applyFill="1" applyBorder="1" applyAlignment="1" applyProtection="1">
      <alignment horizontal="center" vertical="center" wrapText="1"/>
    </xf>
    <xf numFmtId="0" fontId="7" fillId="33" borderId="1" xfId="0" applyNumberFormat="1" applyFont="1" applyFill="1" applyBorder="1" applyAlignment="1" applyProtection="1">
      <alignment horizontal="center" vertical="center" wrapText="1"/>
    </xf>
    <xf numFmtId="1" fontId="7" fillId="33" borderId="1" xfId="0" applyNumberFormat="1" applyFont="1" applyFill="1" applyBorder="1" applyAlignment="1" applyProtection="1">
      <alignment horizontal="center" vertical="center" wrapText="1"/>
    </xf>
    <xf numFmtId="49" fontId="7" fillId="33" borderId="1" xfId="0" applyNumberFormat="1" applyFont="1" applyFill="1" applyBorder="1" applyAlignment="1" applyProtection="1">
      <alignment horizontal="center" vertical="center" wrapText="1"/>
    </xf>
    <xf numFmtId="169" fontId="7" fillId="33" borderId="1" xfId="0" applyNumberFormat="1" applyFont="1" applyFill="1" applyBorder="1" applyAlignment="1" applyProtection="1">
      <alignment horizontal="left" vertical="center" wrapText="1"/>
    </xf>
    <xf numFmtId="0" fontId="7" fillId="33" borderId="1" xfId="0" applyNumberFormat="1" applyFont="1" applyFill="1" applyBorder="1" applyAlignment="1" applyProtection="1">
      <alignment horizontal="left" vertical="center" wrapText="1"/>
    </xf>
    <xf numFmtId="182" fontId="33" fillId="34" borderId="1" xfId="7" applyNumberFormat="1" applyFont="1" applyFill="1" applyBorder="1" applyAlignment="1" applyProtection="1">
      <alignment horizontal="center" vertical="center"/>
    </xf>
    <xf numFmtId="183" fontId="33" fillId="34" borderId="1" xfId="7" applyNumberFormat="1" applyFont="1" applyFill="1" applyBorder="1" applyAlignment="1" applyProtection="1">
      <alignment horizontal="center" vertical="center"/>
    </xf>
    <xf numFmtId="169" fontId="33" fillId="33" borderId="1" xfId="6" applyNumberFormat="1" applyFont="1" applyFill="1" applyBorder="1" applyAlignment="1" applyProtection="1">
      <alignment horizontal="right" vertical="center"/>
    </xf>
    <xf numFmtId="43" fontId="33" fillId="33" borderId="1" xfId="7" applyFont="1" applyFill="1" applyBorder="1" applyAlignment="1" applyProtection="1">
      <alignment horizontal="right" vertical="center"/>
    </xf>
    <xf numFmtId="0" fontId="33" fillId="33" borderId="1" xfId="6" applyFont="1" applyFill="1" applyBorder="1" applyAlignment="1" applyProtection="1">
      <alignment horizontal="right" vertical="center"/>
    </xf>
    <xf numFmtId="4" fontId="33" fillId="34" borderId="1" xfId="7" applyNumberFormat="1" applyFont="1" applyFill="1" applyBorder="1" applyAlignment="1" applyProtection="1">
      <alignment horizontal="center" vertical="center"/>
    </xf>
    <xf numFmtId="0" fontId="7" fillId="30" borderId="0" xfId="6" applyFont="1" applyFill="1" applyBorder="1" applyAlignment="1" applyProtection="1">
      <alignment vertical="center"/>
    </xf>
    <xf numFmtId="0" fontId="7" fillId="30" borderId="0" xfId="6" applyFont="1" applyFill="1" applyBorder="1" applyAlignment="1" applyProtection="1">
      <alignment horizontal="center" vertical="center"/>
    </xf>
    <xf numFmtId="166" fontId="7" fillId="30" borderId="0" xfId="6" applyNumberFormat="1" applyFont="1" applyFill="1" applyBorder="1" applyAlignment="1" applyProtection="1">
      <alignment horizontal="center" vertical="center"/>
    </xf>
    <xf numFmtId="0" fontId="7" fillId="30" borderId="0" xfId="6" applyFont="1" applyFill="1" applyBorder="1" applyProtection="1"/>
    <xf numFmtId="43" fontId="7" fillId="30" borderId="0" xfId="7" applyFont="1" applyFill="1" applyBorder="1" applyAlignment="1" applyProtection="1">
      <alignment vertical="center"/>
    </xf>
    <xf numFmtId="0" fontId="7" fillId="33" borderId="1" xfId="6" applyNumberFormat="1" applyFont="1" applyFill="1" applyBorder="1" applyAlignment="1" applyProtection="1">
      <alignment horizontal="center" vertical="center" wrapText="1"/>
    </xf>
    <xf numFmtId="1" fontId="7" fillId="33" borderId="1" xfId="6" applyNumberFormat="1" applyFont="1" applyFill="1" applyBorder="1" applyAlignment="1" applyProtection="1">
      <alignment horizontal="left" vertical="center" wrapText="1"/>
    </xf>
    <xf numFmtId="49" fontId="7" fillId="33" borderId="1" xfId="6" applyNumberFormat="1" applyFont="1" applyFill="1" applyBorder="1" applyAlignment="1" applyProtection="1">
      <alignment horizontal="center" vertical="center" wrapText="1"/>
    </xf>
    <xf numFmtId="0" fontId="7" fillId="33" borderId="1" xfId="6" applyNumberFormat="1" applyFont="1" applyFill="1" applyBorder="1" applyAlignment="1" applyProtection="1">
      <alignment horizontal="left" vertical="center" wrapText="1"/>
    </xf>
    <xf numFmtId="174" fontId="33" fillId="34" borderId="1" xfId="6" applyNumberFormat="1" applyFont="1" applyFill="1" applyBorder="1" applyAlignment="1" applyProtection="1">
      <alignment horizontal="center" vertical="center"/>
    </xf>
    <xf numFmtId="164" fontId="33" fillId="34" borderId="1" xfId="6" applyNumberFormat="1" applyFont="1" applyFill="1" applyBorder="1" applyAlignment="1" applyProtection="1">
      <alignment horizontal="center" vertical="center"/>
    </xf>
    <xf numFmtId="174" fontId="33" fillId="33" borderId="1" xfId="6" applyNumberFormat="1" applyFont="1" applyFill="1" applyBorder="1" applyAlignment="1" applyProtection="1">
      <alignment horizontal="center" vertical="center"/>
    </xf>
    <xf numFmtId="164" fontId="33" fillId="33" borderId="1" xfId="6" applyNumberFormat="1" applyFont="1" applyFill="1" applyBorder="1" applyAlignment="1" applyProtection="1">
      <alignment horizontal="center" vertical="center"/>
    </xf>
    <xf numFmtId="169" fontId="7" fillId="33" borderId="1" xfId="6" applyNumberFormat="1" applyFont="1" applyFill="1" applyBorder="1" applyAlignment="1" applyProtection="1">
      <alignment horizontal="left" vertical="center" wrapText="1"/>
    </xf>
    <xf numFmtId="167" fontId="33" fillId="34" borderId="1" xfId="7" applyNumberFormat="1" applyFont="1" applyFill="1" applyBorder="1" applyAlignment="1" applyProtection="1">
      <alignment horizontal="right" vertical="center"/>
    </xf>
    <xf numFmtId="168" fontId="33" fillId="34" borderId="1" xfId="7" applyNumberFormat="1" applyFont="1" applyFill="1" applyBorder="1" applyAlignment="1" applyProtection="1">
      <alignment horizontal="right" vertical="center"/>
    </xf>
    <xf numFmtId="174" fontId="33" fillId="33" borderId="1" xfId="6" applyNumberFormat="1" applyFont="1" applyFill="1" applyBorder="1" applyAlignment="1" applyProtection="1">
      <alignment horizontal="right" vertical="center"/>
    </xf>
    <xf numFmtId="164" fontId="33" fillId="33" borderId="1" xfId="6" applyNumberFormat="1" applyFont="1" applyFill="1" applyBorder="1" applyAlignment="1" applyProtection="1">
      <alignment horizontal="right" vertical="center"/>
    </xf>
    <xf numFmtId="0" fontId="34" fillId="30" borderId="0" xfId="1" applyNumberFormat="1" applyFont="1" applyFill="1" applyBorder="1" applyAlignment="1" applyProtection="1">
      <alignment horizontal="center" vertical="center" wrapText="1"/>
    </xf>
    <xf numFmtId="1" fontId="7" fillId="33" borderId="1" xfId="6" applyNumberFormat="1" applyFont="1" applyFill="1" applyBorder="1" applyAlignment="1" applyProtection="1">
      <alignment horizontal="center" vertical="center" wrapText="1"/>
    </xf>
    <xf numFmtId="165" fontId="33" fillId="34" borderId="1" xfId="0" applyNumberFormat="1" applyFont="1" applyFill="1" applyBorder="1" applyAlignment="1" applyProtection="1">
      <alignment horizontal="center" vertical="center"/>
    </xf>
    <xf numFmtId="4" fontId="33" fillId="34" borderId="1" xfId="0" applyNumberFormat="1" applyFont="1" applyFill="1" applyBorder="1" applyAlignment="1" applyProtection="1">
      <alignment horizontal="center" vertical="center"/>
    </xf>
    <xf numFmtId="170" fontId="35" fillId="33" borderId="1" xfId="0" applyNumberFormat="1" applyFont="1" applyFill="1" applyBorder="1" applyAlignment="1" applyProtection="1">
      <alignment horizontal="center" vertical="center"/>
    </xf>
    <xf numFmtId="171" fontId="35" fillId="33" borderId="1" xfId="0" applyNumberFormat="1" applyFont="1" applyFill="1" applyBorder="1" applyAlignment="1" applyProtection="1">
      <alignment horizontal="center" vertical="center"/>
    </xf>
    <xf numFmtId="170" fontId="35" fillId="34" borderId="1" xfId="0" applyNumberFormat="1" applyFont="1" applyFill="1" applyBorder="1" applyAlignment="1" applyProtection="1">
      <alignment horizontal="center" vertical="center"/>
    </xf>
    <xf numFmtId="171" fontId="35" fillId="34" borderId="1" xfId="0" applyNumberFormat="1" applyFont="1" applyFill="1" applyBorder="1" applyAlignment="1" applyProtection="1">
      <alignment horizontal="center" vertical="center"/>
    </xf>
    <xf numFmtId="169" fontId="7" fillId="33" borderId="1" xfId="6" applyNumberFormat="1" applyFont="1" applyFill="1" applyBorder="1" applyAlignment="1" applyProtection="1">
      <alignment horizontal="center" vertical="center" wrapText="1"/>
    </xf>
    <xf numFmtId="166" fontId="33" fillId="34" borderId="1" xfId="6" applyNumberFormat="1" applyFont="1" applyFill="1" applyBorder="1" applyAlignment="1" applyProtection="1">
      <alignment horizontal="center" vertical="center"/>
    </xf>
    <xf numFmtId="4" fontId="33" fillId="34" borderId="1" xfId="6" applyNumberFormat="1" applyFont="1" applyFill="1" applyBorder="1" applyAlignment="1" applyProtection="1">
      <alignment horizontal="center" vertical="center"/>
    </xf>
    <xf numFmtId="43" fontId="33" fillId="33" borderId="1" xfId="7" applyFont="1" applyFill="1" applyBorder="1" applyAlignment="1" applyProtection="1">
      <alignment horizontal="center" vertical="center"/>
    </xf>
    <xf numFmtId="0" fontId="8" fillId="0" borderId="1" xfId="6" applyFont="1" applyBorder="1" applyAlignment="1">
      <alignment horizontal="left" vertical="center" wrapText="1"/>
    </xf>
    <xf numFmtId="49" fontId="7" fillId="33" borderId="1" xfId="6" quotePrefix="1" applyNumberFormat="1" applyFont="1" applyFill="1" applyBorder="1" applyAlignment="1" applyProtection="1">
      <alignment horizontal="center" vertical="center" wrapText="1"/>
    </xf>
    <xf numFmtId="170" fontId="35" fillId="34" borderId="1" xfId="6" applyNumberFormat="1" applyFont="1" applyFill="1" applyBorder="1" applyAlignment="1" applyProtection="1">
      <alignment horizontal="center" vertical="center"/>
    </xf>
    <xf numFmtId="171" fontId="35" fillId="34" borderId="1" xfId="6" applyNumberFormat="1" applyFont="1" applyFill="1" applyBorder="1" applyAlignment="1" applyProtection="1">
      <alignment horizontal="center" vertical="center"/>
    </xf>
    <xf numFmtId="170" fontId="35" fillId="33" borderId="1" xfId="6" applyNumberFormat="1" applyFont="1" applyFill="1" applyBorder="1" applyAlignment="1" applyProtection="1">
      <alignment horizontal="center" vertical="center"/>
    </xf>
    <xf numFmtId="171" fontId="35" fillId="33" borderId="1" xfId="6" applyNumberFormat="1" applyFont="1" applyFill="1" applyBorder="1" applyAlignment="1" applyProtection="1">
      <alignment horizontal="center" vertical="center"/>
    </xf>
    <xf numFmtId="0" fontId="7" fillId="2" borderId="0" xfId="6" applyFont="1" applyFill="1" applyAlignment="1" applyProtection="1">
      <alignment horizontal="center" vertical="center"/>
    </xf>
    <xf numFmtId="166" fontId="7" fillId="2" borderId="0" xfId="6" applyNumberFormat="1" applyFont="1" applyFill="1" applyAlignment="1" applyProtection="1">
      <alignment horizontal="center" vertical="center"/>
    </xf>
    <xf numFmtId="0" fontId="7" fillId="2" borderId="0" xfId="6" applyFont="1" applyFill="1" applyProtection="1"/>
    <xf numFmtId="0" fontId="19" fillId="4" borderId="1" xfId="0" applyFont="1" applyFill="1" applyBorder="1" applyAlignment="1" applyProtection="1">
      <alignment horizontal="center" vertical="center" wrapText="1"/>
      <protection locked="0"/>
    </xf>
    <xf numFmtId="169" fontId="8" fillId="3" borderId="1" xfId="0" applyNumberFormat="1" applyFont="1" applyFill="1" applyBorder="1" applyAlignment="1" applyProtection="1">
      <alignment horizontal="center" vertical="center"/>
      <protection locked="0"/>
    </xf>
    <xf numFmtId="0" fontId="10" fillId="0" borderId="1" xfId="0" applyFont="1" applyBorder="1" applyAlignment="1">
      <alignment horizontal="left" vertical="top" wrapText="1"/>
    </xf>
    <xf numFmtId="174" fontId="8" fillId="14" borderId="3" xfId="0" applyNumberFormat="1" applyFont="1" applyFill="1" applyBorder="1" applyAlignment="1" applyProtection="1">
      <alignment horizontal="center" vertical="center" wrapText="1"/>
      <protection locked="0"/>
    </xf>
    <xf numFmtId="0" fontId="7" fillId="4" borderId="1" xfId="0" applyFont="1" applyFill="1" applyBorder="1" applyAlignment="1">
      <alignment vertical="center" wrapText="1"/>
    </xf>
    <xf numFmtId="0" fontId="7" fillId="12" borderId="3" xfId="0" applyFont="1" applyFill="1" applyBorder="1" applyAlignment="1">
      <alignment horizontal="center" vertical="center" wrapText="1"/>
    </xf>
    <xf numFmtId="0" fontId="8" fillId="0" borderId="16" xfId="0" applyFont="1" applyFill="1" applyBorder="1" applyAlignment="1">
      <alignment vertical="center" wrapText="1"/>
    </xf>
    <xf numFmtId="0" fontId="7" fillId="0" borderId="16" xfId="0" applyFont="1" applyFill="1" applyBorder="1" applyAlignment="1">
      <alignment vertical="center" wrapText="1"/>
    </xf>
    <xf numFmtId="0" fontId="7" fillId="0" borderId="0" xfId="0" applyFont="1" applyBorder="1" applyAlignment="1">
      <alignment vertical="center" wrapText="1"/>
    </xf>
    <xf numFmtId="0" fontId="7" fillId="0" borderId="26" xfId="0" applyFont="1" applyFill="1" applyBorder="1" applyAlignment="1">
      <alignment horizontal="center" vertical="center" wrapText="1"/>
    </xf>
    <xf numFmtId="0" fontId="13" fillId="0" borderId="0" xfId="3" applyFont="1" applyFill="1" applyBorder="1" applyAlignment="1" applyProtection="1">
      <alignment vertical="center"/>
    </xf>
    <xf numFmtId="0" fontId="7" fillId="0" borderId="0" xfId="6" applyFill="1"/>
    <xf numFmtId="0" fontId="7" fillId="0" borderId="0" xfId="6" applyBorder="1" applyAlignment="1">
      <alignment vertical="center"/>
    </xf>
    <xf numFmtId="0" fontId="8" fillId="7" borderId="1" xfId="6" applyFont="1" applyFill="1" applyBorder="1" applyAlignment="1" applyProtection="1">
      <alignment horizontal="center" vertical="center" wrapText="1"/>
      <protection locked="0"/>
    </xf>
    <xf numFmtId="0" fontId="7" fillId="0" borderId="0" xfId="6" applyBorder="1"/>
    <xf numFmtId="0" fontId="8" fillId="0" borderId="0" xfId="6" applyFont="1" applyBorder="1" applyAlignment="1">
      <alignment horizontal="left" vertical="center" wrapText="1" indent="1"/>
    </xf>
    <xf numFmtId="0" fontId="7" fillId="12" borderId="0" xfId="6" applyFont="1" applyFill="1" applyBorder="1" applyAlignment="1">
      <alignment wrapText="1"/>
    </xf>
    <xf numFmtId="0" fontId="8" fillId="7" borderId="2" xfId="6" applyFont="1" applyFill="1" applyBorder="1" applyAlignment="1" applyProtection="1">
      <alignment horizontal="center" vertical="center" wrapText="1"/>
      <protection locked="0"/>
    </xf>
    <xf numFmtId="165" fontId="7" fillId="0" borderId="1" xfId="6" applyNumberFormat="1" applyBorder="1" applyAlignment="1">
      <alignment horizontal="center" vertical="center"/>
    </xf>
    <xf numFmtId="0" fontId="7" fillId="0" borderId="3" xfId="6" applyFont="1" applyBorder="1" applyAlignment="1">
      <alignment horizontal="left" vertical="center" wrapText="1" indent="1"/>
    </xf>
    <xf numFmtId="0" fontId="7" fillId="0" borderId="5" xfId="6" applyFont="1" applyBorder="1" applyAlignment="1">
      <alignment horizontal="left" vertical="center" wrapText="1" indent="1"/>
    </xf>
    <xf numFmtId="0" fontId="7" fillId="12" borderId="1" xfId="6" applyFill="1" applyBorder="1" applyAlignment="1">
      <alignment horizontal="center" vertical="center"/>
    </xf>
    <xf numFmtId="0" fontId="8" fillId="0" borderId="6" xfId="6" applyFont="1" applyBorder="1" applyAlignment="1">
      <alignment vertical="center" wrapText="1"/>
    </xf>
    <xf numFmtId="0" fontId="7" fillId="0" borderId="1" xfId="6" quotePrefix="1" applyFont="1" applyBorder="1" applyAlignment="1">
      <alignment horizontal="center" vertical="center" wrapText="1"/>
    </xf>
    <xf numFmtId="0" fontId="8" fillId="0" borderId="1" xfId="6" applyFont="1" applyBorder="1" applyAlignment="1">
      <alignment vertical="center" wrapText="1"/>
    </xf>
    <xf numFmtId="0" fontId="8" fillId="0" borderId="0" xfId="6" applyFont="1" applyBorder="1" applyAlignment="1">
      <alignment vertical="top" wrapText="1"/>
    </xf>
    <xf numFmtId="0" fontId="7" fillId="0" borderId="0" xfId="6" applyFont="1" applyBorder="1" applyAlignment="1">
      <alignment wrapText="1"/>
    </xf>
    <xf numFmtId="0" fontId="8" fillId="0" borderId="8" xfId="6" applyFont="1" applyBorder="1" applyAlignment="1">
      <alignment vertical="top" wrapText="1"/>
    </xf>
    <xf numFmtId="0" fontId="7" fillId="0" borderId="1" xfId="6" applyFont="1" applyBorder="1" applyAlignment="1">
      <alignment vertical="center" wrapText="1"/>
    </xf>
    <xf numFmtId="0" fontId="7" fillId="0" borderId="1" xfId="6" applyFont="1" applyBorder="1" applyAlignment="1">
      <alignment vertical="center"/>
    </xf>
    <xf numFmtId="0" fontId="7" fillId="0" borderId="1" xfId="6" applyBorder="1" applyAlignment="1">
      <alignment horizontal="center" vertical="center"/>
    </xf>
    <xf numFmtId="0" fontId="13" fillId="12" borderId="0" xfId="3" applyFont="1" applyFill="1" applyBorder="1" applyAlignment="1" applyProtection="1">
      <alignment vertical="center"/>
    </xf>
    <xf numFmtId="165" fontId="7" fillId="0" borderId="0" xfId="6" applyNumberFormat="1" applyBorder="1" applyAlignment="1">
      <alignment vertical="center"/>
    </xf>
    <xf numFmtId="0" fontId="7" fillId="0" borderId="0" xfId="6" applyBorder="1" applyAlignment="1">
      <alignment horizontal="center" vertical="center"/>
    </xf>
    <xf numFmtId="166" fontId="7" fillId="2" borderId="0" xfId="6" applyNumberFormat="1" applyFill="1" applyAlignment="1">
      <alignment horizontal="center" vertical="center"/>
    </xf>
    <xf numFmtId="0" fontId="7" fillId="0" borderId="0" xfId="6" applyFont="1" applyFill="1" applyBorder="1" applyAlignment="1">
      <alignment horizontal="center" vertical="center" wrapText="1"/>
    </xf>
    <xf numFmtId="0" fontId="7" fillId="0" borderId="1" xfId="6" applyFont="1" applyFill="1" applyBorder="1" applyAlignment="1" applyProtection="1">
      <alignment horizontal="center" vertical="center" wrapText="1"/>
      <protection locked="0"/>
    </xf>
    <xf numFmtId="184" fontId="0" fillId="0" borderId="1" xfId="7" applyNumberFormat="1" applyFont="1" applyBorder="1" applyAlignment="1">
      <alignment vertical="center"/>
    </xf>
    <xf numFmtId="0" fontId="7" fillId="0" borderId="1" xfId="6" applyBorder="1" applyAlignment="1">
      <alignment vertical="center"/>
    </xf>
    <xf numFmtId="184" fontId="0" fillId="0" borderId="1" xfId="7" applyNumberFormat="1" applyFont="1" applyFill="1" applyBorder="1" applyAlignment="1">
      <alignment vertical="center"/>
    </xf>
    <xf numFmtId="0" fontId="7" fillId="0" borderId="1" xfId="6" applyFill="1" applyBorder="1" applyAlignment="1">
      <alignment horizontal="center" vertical="center"/>
    </xf>
    <xf numFmtId="165" fontId="7" fillId="0" borderId="1" xfId="6" applyNumberFormat="1" applyFont="1" applyFill="1" applyBorder="1" applyAlignment="1" applyProtection="1">
      <alignment horizontal="center" vertical="center" wrapText="1"/>
      <protection locked="0"/>
    </xf>
    <xf numFmtId="1" fontId="7" fillId="0" borderId="1" xfId="6" applyNumberFormat="1" applyBorder="1" applyAlignment="1">
      <alignment horizontal="center" vertical="center"/>
    </xf>
    <xf numFmtId="0" fontId="7" fillId="0" borderId="0" xfId="6" applyFont="1" applyBorder="1" applyAlignment="1">
      <alignment vertical="center" wrapText="1"/>
    </xf>
    <xf numFmtId="0" fontId="0" fillId="30" borderId="0" xfId="0" applyFont="1" applyFill="1" applyBorder="1" applyAlignment="1" applyProtection="1">
      <alignment vertical="center"/>
    </xf>
    <xf numFmtId="49" fontId="36" fillId="31" borderId="1" xfId="0" applyNumberFormat="1" applyFont="1" applyFill="1" applyBorder="1" applyAlignment="1" applyProtection="1">
      <alignment horizontal="center" vertical="center" wrapText="1"/>
    </xf>
    <xf numFmtId="49" fontId="7" fillId="33" borderId="1" xfId="0" quotePrefix="1" applyNumberFormat="1" applyFont="1" applyFill="1" applyBorder="1" applyAlignment="1" applyProtection="1">
      <alignment horizontal="left" vertical="center" wrapText="1"/>
    </xf>
    <xf numFmtId="49" fontId="7" fillId="33" borderId="1" xfId="0" applyNumberFormat="1" applyFont="1" applyFill="1" applyBorder="1" applyAlignment="1" applyProtection="1">
      <alignment horizontal="left" vertical="center" wrapText="1"/>
    </xf>
    <xf numFmtId="49" fontId="0" fillId="33" borderId="1" xfId="0" applyNumberFormat="1" applyFont="1" applyFill="1" applyBorder="1" applyAlignment="1" applyProtection="1">
      <alignment horizontal="left" vertical="center" wrapText="1"/>
    </xf>
    <xf numFmtId="170" fontId="37" fillId="34" borderId="1" xfId="0" applyNumberFormat="1" applyFont="1" applyFill="1" applyBorder="1" applyAlignment="1" applyProtection="1">
      <alignment horizontal="center" vertical="center"/>
    </xf>
    <xf numFmtId="171" fontId="37" fillId="34" borderId="1" xfId="0" applyNumberFormat="1" applyFont="1" applyFill="1" applyBorder="1" applyAlignment="1" applyProtection="1">
      <alignment horizontal="center" vertical="center"/>
    </xf>
    <xf numFmtId="170" fontId="37" fillId="33" borderId="1" xfId="0" applyNumberFormat="1" applyFont="1" applyFill="1" applyBorder="1" applyAlignment="1" applyProtection="1">
      <alignment horizontal="center" vertical="center"/>
    </xf>
    <xf numFmtId="171" fontId="37" fillId="33" borderId="1" xfId="0" applyNumberFormat="1" applyFont="1" applyFill="1" applyBorder="1" applyAlignment="1" applyProtection="1">
      <alignment horizontal="center" vertical="center"/>
    </xf>
    <xf numFmtId="0" fontId="0" fillId="30" borderId="0" xfId="0" applyFont="1" applyFill="1" applyBorder="1" applyAlignment="1" applyProtection="1">
      <alignment horizontal="center" vertical="center"/>
    </xf>
    <xf numFmtId="166" fontId="0" fillId="30" borderId="0" xfId="0" applyNumberFormat="1" applyFont="1" applyFill="1" applyBorder="1" applyAlignment="1" applyProtection="1">
      <alignment horizontal="center" vertical="center"/>
    </xf>
    <xf numFmtId="0" fontId="0" fillId="30" borderId="0" xfId="0" applyFont="1" applyFill="1" applyBorder="1" applyProtection="1"/>
    <xf numFmtId="0" fontId="8" fillId="35" borderId="1" xfId="0" quotePrefix="1" applyFont="1" applyFill="1" applyBorder="1" applyAlignment="1" applyProtection="1">
      <alignment horizontal="center" vertical="center" wrapText="1"/>
    </xf>
    <xf numFmtId="0" fontId="8" fillId="36" borderId="1" xfId="0" quotePrefix="1" applyFont="1" applyFill="1" applyBorder="1" applyAlignment="1" applyProtection="1">
      <alignment horizontal="center" vertical="center" wrapText="1"/>
    </xf>
    <xf numFmtId="49" fontId="0" fillId="33" borderId="1" xfId="0" applyNumberFormat="1" applyFont="1" applyFill="1" applyBorder="1" applyAlignment="1" applyProtection="1">
      <alignment horizontal="left" vertical="top" wrapText="1"/>
    </xf>
    <xf numFmtId="49" fontId="0" fillId="37" borderId="1" xfId="0" applyNumberFormat="1" applyFont="1" applyFill="1" applyBorder="1" applyAlignment="1" applyProtection="1">
      <alignment horizontal="left" vertical="top" wrapText="1"/>
    </xf>
    <xf numFmtId="170" fontId="37" fillId="37" borderId="1" xfId="0" applyNumberFormat="1" applyFont="1" applyFill="1" applyBorder="1" applyAlignment="1" applyProtection="1">
      <alignment horizontal="center" vertical="center"/>
    </xf>
    <xf numFmtId="171" fontId="37" fillId="37" borderId="1" xfId="0" applyNumberFormat="1" applyFont="1" applyFill="1" applyBorder="1" applyAlignment="1" applyProtection="1">
      <alignment horizontal="center" vertical="center"/>
    </xf>
    <xf numFmtId="171" fontId="37" fillId="38" borderId="1" xfId="0" applyNumberFormat="1" applyFont="1" applyFill="1" applyBorder="1" applyAlignment="1" applyProtection="1">
      <alignment horizontal="center" vertical="center"/>
    </xf>
    <xf numFmtId="0" fontId="0" fillId="30" borderId="27" xfId="0" applyFont="1" applyFill="1" applyBorder="1" applyAlignment="1" applyProtection="1">
      <alignment vertical="center"/>
    </xf>
    <xf numFmtId="0" fontId="0" fillId="30" borderId="27" xfId="0" applyFont="1" applyFill="1" applyBorder="1" applyAlignment="1" applyProtection="1">
      <alignment horizontal="center" vertical="center"/>
    </xf>
    <xf numFmtId="166" fontId="0" fillId="30" borderId="27" xfId="0" applyNumberFormat="1" applyFont="1" applyFill="1" applyBorder="1" applyAlignment="1" applyProtection="1">
      <alignment horizontal="center" vertical="center"/>
    </xf>
    <xf numFmtId="0" fontId="0" fillId="30" borderId="27" xfId="0" applyFont="1" applyFill="1" applyBorder="1" applyProtection="1"/>
    <xf numFmtId="0" fontId="0" fillId="30" borderId="28" xfId="0" applyFont="1" applyFill="1" applyBorder="1" applyAlignment="1" applyProtection="1">
      <alignment vertical="center"/>
    </xf>
    <xf numFmtId="0" fontId="0" fillId="30" borderId="29" xfId="0" applyFont="1" applyFill="1" applyBorder="1" applyAlignment="1" applyProtection="1">
      <alignment vertical="center"/>
    </xf>
    <xf numFmtId="0" fontId="0" fillId="30" borderId="29" xfId="0" applyFont="1" applyFill="1" applyBorder="1" applyAlignment="1" applyProtection="1">
      <alignment horizontal="center" vertical="center"/>
    </xf>
    <xf numFmtId="166" fontId="0" fillId="30" borderId="29" xfId="0" applyNumberFormat="1" applyFont="1" applyFill="1" applyBorder="1" applyAlignment="1" applyProtection="1">
      <alignment horizontal="center" vertical="center"/>
    </xf>
    <xf numFmtId="0" fontId="0" fillId="30" borderId="29" xfId="0" applyFont="1" applyFill="1" applyBorder="1" applyProtection="1"/>
    <xf numFmtId="0" fontId="7" fillId="2" borderId="0" xfId="6" quotePrefix="1" applyFont="1" applyFill="1" applyBorder="1" applyAlignment="1">
      <alignment vertical="center" wrapText="1"/>
    </xf>
    <xf numFmtId="0" fontId="0" fillId="2" borderId="0" xfId="0" applyFill="1" applyBorder="1"/>
    <xf numFmtId="0" fontId="0" fillId="2" borderId="0" xfId="0" applyFill="1" applyBorder="1" applyAlignment="1">
      <alignment vertical="center"/>
    </xf>
    <xf numFmtId="0" fontId="7" fillId="2" borderId="0" xfId="6" applyFill="1" applyBorder="1"/>
    <xf numFmtId="0" fontId="7" fillId="2" borderId="0" xfId="6" applyFill="1" applyBorder="1" applyAlignment="1">
      <alignment vertical="center"/>
    </xf>
    <xf numFmtId="0" fontId="7" fillId="0" borderId="0" xfId="6" quotePrefix="1" applyFont="1" applyFill="1" applyBorder="1" applyAlignment="1">
      <alignment vertical="center" wrapText="1"/>
    </xf>
    <xf numFmtId="0" fontId="8" fillId="0" borderId="0" xfId="0" applyFont="1" applyAlignment="1" applyProtection="1">
      <alignment horizontal="left" vertical="top" wrapText="1"/>
      <protection locked="0"/>
    </xf>
    <xf numFmtId="0" fontId="8" fillId="0" borderId="0" xfId="0" applyFont="1" applyAlignment="1"/>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4"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43" fontId="7" fillId="2" borderId="0" xfId="19" applyFont="1" applyFill="1" applyAlignment="1" applyProtection="1">
      <alignment vertical="center"/>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14" xfId="6" applyFont="1" applyFill="1" applyBorder="1" applyAlignment="1">
      <alignment horizontal="center" vertical="center" wrapText="1"/>
    </xf>
    <xf numFmtId="0" fontId="7" fillId="0" borderId="3" xfId="6"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6"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xf>
    <xf numFmtId="0" fontId="8" fillId="7" borderId="1" xfId="6" applyFont="1" applyFill="1" applyBorder="1" applyAlignment="1" applyProtection="1">
      <alignment horizontal="center" vertical="center" wrapText="1"/>
      <protection locked="0"/>
    </xf>
    <xf numFmtId="49" fontId="11" fillId="0" borderId="0" xfId="5" quotePrefix="1" applyNumberFormat="1" applyFont="1" applyBorder="1" applyAlignment="1" applyProtection="1">
      <alignment horizontal="left" vertical="center"/>
      <protection locked="0"/>
    </xf>
    <xf numFmtId="0" fontId="0" fillId="0" borderId="0" xfId="0" applyAlignment="1">
      <alignment vertical="center"/>
    </xf>
    <xf numFmtId="174" fontId="19" fillId="14" borderId="3" xfId="0" applyNumberFormat="1" applyFont="1" applyFill="1" applyBorder="1" applyAlignment="1" applyProtection="1">
      <alignment horizontal="center" vertical="center" wrapText="1"/>
      <protection locked="0"/>
    </xf>
    <xf numFmtId="0" fontId="8" fillId="0" borderId="6" xfId="0" applyFont="1" applyBorder="1" applyAlignment="1">
      <alignment vertical="top" wrapText="1"/>
    </xf>
    <xf numFmtId="0" fontId="8" fillId="0" borderId="1" xfId="0" applyFont="1" applyBorder="1" applyAlignment="1">
      <alignment vertical="top" wrapText="1"/>
    </xf>
    <xf numFmtId="0" fontId="16" fillId="12" borderId="0" xfId="1" applyNumberFormat="1" applyFont="1" applyFill="1" applyBorder="1" applyAlignment="1" applyProtection="1">
      <alignment vertical="center" wrapText="1"/>
    </xf>
    <xf numFmtId="0" fontId="23" fillId="13" borderId="1" xfId="0" applyFont="1" applyFill="1" applyBorder="1" applyAlignment="1" applyProtection="1">
      <alignment horizontal="center" vertical="center" wrapText="1"/>
    </xf>
    <xf numFmtId="174" fontId="19" fillId="14" borderId="3" xfId="0" applyNumberFormat="1" applyFont="1" applyFill="1" applyBorder="1" applyAlignment="1" applyProtection="1">
      <alignment horizontal="center" vertical="center" wrapText="1"/>
    </xf>
    <xf numFmtId="0" fontId="23" fillId="15" borderId="1" xfId="0" applyFont="1" applyFill="1" applyBorder="1" applyAlignment="1" applyProtection="1">
      <alignment horizontal="center" vertical="center" wrapText="1"/>
    </xf>
    <xf numFmtId="0" fontId="23" fillId="16" borderId="1" xfId="0" applyFont="1" applyFill="1" applyBorder="1" applyAlignment="1" applyProtection="1">
      <alignment horizontal="center" vertical="center" wrapText="1"/>
    </xf>
    <xf numFmtId="0" fontId="8" fillId="17" borderId="1" xfId="0" applyFont="1" applyFill="1" applyBorder="1" applyAlignment="1" applyProtection="1">
      <alignment horizontal="center" vertical="center" wrapText="1"/>
    </xf>
    <xf numFmtId="0" fontId="8" fillId="0" borderId="6" xfId="0" applyFont="1" applyBorder="1" applyAlignment="1" applyProtection="1">
      <alignment vertical="center" wrapText="1"/>
    </xf>
    <xf numFmtId="0" fontId="7" fillId="0" borderId="6" xfId="0" applyFont="1" applyBorder="1" applyAlignment="1" applyProtection="1">
      <alignment horizontal="center" vertical="center" wrapText="1"/>
    </xf>
    <xf numFmtId="0" fontId="7" fillId="4" borderId="3" xfId="0" applyFont="1" applyFill="1" applyBorder="1" applyAlignment="1" applyProtection="1">
      <alignment vertical="center" wrapText="1"/>
    </xf>
    <xf numFmtId="0" fontId="7" fillId="4"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16" fillId="12" borderId="12" xfId="1" applyNumberFormat="1" applyFont="1" applyFill="1" applyBorder="1" applyAlignment="1" applyProtection="1">
      <alignment horizontal="center" vertical="center" wrapText="1"/>
    </xf>
    <xf numFmtId="0" fontId="0" fillId="12" borderId="0" xfId="0" applyFill="1" applyBorder="1" applyAlignment="1" applyProtection="1">
      <alignment vertical="center"/>
    </xf>
    <xf numFmtId="0" fontId="7" fillId="39" borderId="1" xfId="0" applyFont="1" applyFill="1" applyBorder="1" applyAlignment="1" applyProtection="1">
      <alignment horizontal="center" vertical="center" wrapText="1"/>
    </xf>
    <xf numFmtId="0" fontId="7" fillId="0" borderId="1" xfId="0" applyFont="1" applyBorder="1" applyAlignment="1">
      <alignment vertical="center" wrapText="1"/>
    </xf>
    <xf numFmtId="49" fontId="11" fillId="6" borderId="0" xfId="1" applyNumberFormat="1"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0" fontId="8" fillId="0" borderId="1" xfId="6" applyFont="1" applyBorder="1" applyAlignment="1">
      <alignment horizontal="left" vertical="center" wrapText="1"/>
    </xf>
    <xf numFmtId="0" fontId="7" fillId="0" borderId="4" xfId="0" applyFont="1" applyBorder="1" applyAlignment="1" applyProtection="1">
      <alignment horizontal="center" vertical="center" wrapText="1"/>
    </xf>
    <xf numFmtId="0" fontId="8" fillId="7" borderId="1" xfId="6" applyFont="1" applyFill="1" applyBorder="1" applyAlignment="1" applyProtection="1">
      <alignment horizontal="center" vertical="center" wrapText="1"/>
      <protection locked="0"/>
    </xf>
    <xf numFmtId="0" fontId="8" fillId="0" borderId="3" xfId="0" applyFont="1" applyBorder="1" applyAlignment="1">
      <alignment horizontal="left" vertical="center" wrapText="1" indent="1"/>
    </xf>
    <xf numFmtId="0" fontId="8" fillId="7" borderId="3" xfId="6" applyFont="1" applyFill="1" applyBorder="1" applyAlignment="1" applyProtection="1">
      <alignment horizontal="center" vertical="center" wrapText="1"/>
      <protection locked="0"/>
    </xf>
    <xf numFmtId="0" fontId="8" fillId="7" borderId="1" xfId="6" applyFont="1" applyFill="1" applyBorder="1" applyAlignment="1" applyProtection="1">
      <alignment horizontal="center" vertical="center" wrapText="1"/>
      <protection locked="0"/>
    </xf>
    <xf numFmtId="0" fontId="7" fillId="0" borderId="1" xfId="6" applyFont="1" applyBorder="1" applyAlignment="1">
      <alignment horizontal="left" vertical="center" wrapText="1" indent="1"/>
    </xf>
    <xf numFmtId="0" fontId="13" fillId="0" borderId="0" xfId="3" quotePrefix="1" applyFill="1" applyAlignment="1" applyProtection="1">
      <alignment horizontal="left" vertical="center" indent="1"/>
    </xf>
    <xf numFmtId="0" fontId="39" fillId="0" borderId="0" xfId="0" quotePrefix="1" applyNumberFormat="1" applyFont="1" applyAlignment="1" applyProtection="1">
      <alignment horizontal="left" vertical="center" indent="1"/>
    </xf>
    <xf numFmtId="0" fontId="13" fillId="0" borderId="0" xfId="3" quotePrefix="1" applyFill="1" applyAlignment="1" applyProtection="1">
      <alignment horizontal="left" indent="1"/>
    </xf>
    <xf numFmtId="0" fontId="14" fillId="0" borderId="0" xfId="0" quotePrefix="1" applyNumberFormat="1" applyFont="1" applyAlignment="1" applyProtection="1">
      <alignment horizontal="left" vertical="center" wrapText="1"/>
    </xf>
    <xf numFmtId="0" fontId="0" fillId="0" borderId="0" xfId="0" applyAlignment="1"/>
    <xf numFmtId="0" fontId="13" fillId="0" borderId="0" xfId="3" applyAlignment="1" applyProtection="1">
      <alignment horizontal="left" vertical="center"/>
    </xf>
    <xf numFmtId="0" fontId="0" fillId="0" borderId="0" xfId="0" applyFill="1" applyAlignment="1"/>
    <xf numFmtId="0" fontId="0" fillId="2" borderId="0" xfId="0" applyFill="1" applyProtection="1"/>
    <xf numFmtId="0" fontId="0" fillId="12" borderId="0" xfId="0" applyFill="1" applyProtection="1"/>
    <xf numFmtId="0" fontId="0" fillId="12" borderId="0" xfId="0" applyFill="1" applyAlignment="1" applyProtection="1">
      <alignment vertical="center"/>
    </xf>
    <xf numFmtId="0" fontId="0" fillId="12" borderId="0" xfId="0" applyFill="1" applyBorder="1" applyProtection="1"/>
    <xf numFmtId="0" fontId="8" fillId="12"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6" applyFont="1" applyBorder="1" applyAlignment="1">
      <alignment horizontal="left" vertical="center" wrapText="1" indent="1"/>
    </xf>
    <xf numFmtId="0" fontId="8" fillId="7" borderId="1" xfId="6" applyFont="1" applyFill="1" applyBorder="1" applyAlignment="1" applyProtection="1">
      <alignment horizontal="center" vertical="center" wrapText="1"/>
      <protection locked="0"/>
    </xf>
    <xf numFmtId="165" fontId="7" fillId="0" borderId="3" xfId="6" applyNumberFormat="1" applyFont="1" applyBorder="1" applyAlignment="1">
      <alignment horizontal="left" vertical="center" wrapText="1" indent="1"/>
    </xf>
    <xf numFmtId="0" fontId="8" fillId="0" borderId="1" xfId="6" applyFont="1" applyBorder="1" applyAlignment="1">
      <alignment horizontal="left" vertical="center" wrapText="1" indent="1"/>
    </xf>
    <xf numFmtId="0" fontId="7" fillId="0" borderId="1" xfId="6" applyFont="1" applyBorder="1" applyAlignment="1">
      <alignment horizontal="left" vertical="center" wrapText="1"/>
    </xf>
    <xf numFmtId="0" fontId="0" fillId="28" borderId="1" xfId="0" applyFill="1" applyBorder="1" applyAlignment="1">
      <alignment vertical="center"/>
    </xf>
    <xf numFmtId="0" fontId="7" fillId="0" borderId="1" xfId="6" applyFont="1" applyBorder="1" applyAlignment="1">
      <alignment horizontal="center" vertical="center" wrapText="1"/>
    </xf>
    <xf numFmtId="0" fontId="7" fillId="0" borderId="1" xfId="6" applyFont="1" applyBorder="1" applyAlignment="1">
      <alignment horizontal="left" vertical="center" wrapText="1" indent="1"/>
    </xf>
    <xf numFmtId="0" fontId="7" fillId="12" borderId="1" xfId="6" applyFont="1" applyFill="1" applyBorder="1" applyAlignment="1">
      <alignment horizontal="left" vertical="top" wrapText="1"/>
    </xf>
    <xf numFmtId="0" fontId="7" fillId="12" borderId="1" xfId="6" applyFill="1" applyBorder="1" applyAlignment="1">
      <alignment horizontal="left" vertical="top" wrapText="1"/>
    </xf>
    <xf numFmtId="0" fontId="7" fillId="12" borderId="1" xfId="6" applyFont="1" applyFill="1" applyBorder="1" applyAlignment="1">
      <alignment vertical="center" wrapText="1"/>
    </xf>
    <xf numFmtId="0" fontId="7" fillId="12" borderId="1" xfId="6" applyFill="1" applyBorder="1" applyAlignment="1">
      <alignment horizontal="center" vertical="center" wrapText="1"/>
    </xf>
    <xf numFmtId="0" fontId="0" fillId="12" borderId="1" xfId="0" applyFill="1" applyBorder="1" applyAlignment="1">
      <alignment vertical="center"/>
    </xf>
    <xf numFmtId="0" fontId="22" fillId="0" borderId="0" xfId="6" applyFont="1"/>
    <xf numFmtId="0" fontId="7" fillId="12" borderId="1" xfId="6" applyFont="1" applyFill="1" applyBorder="1" applyAlignment="1">
      <alignment horizontal="center" vertical="top" wrapText="1"/>
    </xf>
    <xf numFmtId="0" fontId="7" fillId="0" borderId="1" xfId="6" applyBorder="1"/>
    <xf numFmtId="0" fontId="0" fillId="0" borderId="1" xfId="0" applyBorder="1" applyAlignment="1">
      <alignment horizontal="center" vertical="center"/>
    </xf>
    <xf numFmtId="0" fontId="7" fillId="0" borderId="1" xfId="6" applyFont="1" applyBorder="1" applyAlignment="1">
      <alignment horizontal="center" vertical="center" wrapText="1"/>
    </xf>
    <xf numFmtId="0" fontId="7" fillId="12"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8" fillId="12" borderId="3" xfId="0" applyFont="1" applyFill="1" applyBorder="1" applyAlignment="1">
      <alignment horizontal="left" vertical="center" wrapText="1" indent="1"/>
    </xf>
    <xf numFmtId="0" fontId="8" fillId="12" borderId="6" xfId="6" applyFont="1" applyFill="1" applyBorder="1" applyAlignment="1">
      <alignment vertical="center" wrapText="1"/>
    </xf>
    <xf numFmtId="169" fontId="7" fillId="12" borderId="1" xfId="6" applyNumberFormat="1" applyFont="1" applyFill="1" applyBorder="1" applyAlignment="1">
      <alignment horizontal="center" vertical="center" wrapText="1"/>
    </xf>
    <xf numFmtId="0" fontId="7" fillId="12" borderId="6" xfId="6" applyFont="1" applyFill="1" applyBorder="1" applyAlignment="1">
      <alignment horizontal="center" vertical="center" wrapText="1"/>
    </xf>
    <xf numFmtId="0" fontId="7" fillId="12" borderId="1" xfId="6" quotePrefix="1" applyFont="1" applyFill="1" applyBorder="1" applyAlignment="1">
      <alignment horizontal="center" vertical="center" wrapText="1"/>
    </xf>
    <xf numFmtId="0" fontId="7" fillId="12" borderId="0" xfId="0" applyFont="1" applyFill="1" applyAlignment="1">
      <alignment horizontal="center" vertical="center"/>
    </xf>
    <xf numFmtId="0" fontId="7" fillId="12" borderId="1" xfId="0" quotePrefix="1" applyFont="1" applyFill="1" applyBorder="1" applyAlignment="1" applyProtection="1">
      <alignment horizontal="center" vertical="center" wrapText="1"/>
    </xf>
    <xf numFmtId="0" fontId="7" fillId="12" borderId="6" xfId="0" applyFont="1" applyFill="1" applyBorder="1" applyAlignment="1" applyProtection="1">
      <alignment horizontal="center" vertical="center" wrapText="1"/>
    </xf>
    <xf numFmtId="0" fontId="7" fillId="40" borderId="1" xfId="0" applyFont="1" applyFill="1" applyBorder="1" applyAlignment="1" applyProtection="1">
      <alignment horizontal="center" vertical="center" wrapText="1"/>
    </xf>
    <xf numFmtId="0" fontId="8" fillId="12" borderId="1" xfId="6" applyFont="1" applyFill="1" applyBorder="1" applyAlignment="1">
      <alignment horizontal="left" vertical="center" wrapText="1" indent="1"/>
    </xf>
    <xf numFmtId="0" fontId="8" fillId="12" borderId="1" xfId="6" applyFont="1" applyFill="1" applyBorder="1" applyAlignment="1">
      <alignment vertical="center" wrapText="1"/>
    </xf>
    <xf numFmtId="0" fontId="7" fillId="12"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28" borderId="1" xfId="0" applyFont="1" applyFill="1" applyBorder="1" applyAlignment="1">
      <alignment horizontal="center" vertical="center" wrapText="1"/>
    </xf>
    <xf numFmtId="0" fontId="8" fillId="7" borderId="1" xfId="6" quotePrefix="1" applyFont="1" applyFill="1" applyBorder="1" applyAlignment="1">
      <alignment horizontal="center" vertical="center" wrapText="1"/>
    </xf>
    <xf numFmtId="49" fontId="19" fillId="0" borderId="1" xfId="0" applyNumberFormat="1" applyFont="1" applyFill="1" applyBorder="1" applyAlignment="1" applyProtection="1">
      <alignment horizontal="center" vertical="center" wrapText="1"/>
      <protection locked="0"/>
    </xf>
    <xf numFmtId="0" fontId="8" fillId="12" borderId="0" xfId="0" applyFont="1" applyFill="1" applyBorder="1" applyAlignment="1" applyProtection="1">
      <alignment vertical="center" wrapText="1"/>
      <protection locked="0"/>
    </xf>
    <xf numFmtId="0" fontId="19" fillId="12" borderId="0" xfId="0" applyNumberFormat="1" applyFont="1" applyFill="1" applyBorder="1" applyAlignment="1" applyProtection="1">
      <alignment horizontal="center" vertical="center" wrapText="1"/>
      <protection locked="0"/>
    </xf>
    <xf numFmtId="179" fontId="20" fillId="12" borderId="0" xfId="0" applyNumberFormat="1" applyFont="1" applyFill="1" applyBorder="1" applyAlignment="1" applyProtection="1">
      <alignment horizontal="center" vertical="center"/>
      <protection locked="0"/>
    </xf>
    <xf numFmtId="179" fontId="19" fillId="12" borderId="0" xfId="0" applyNumberFormat="1" applyFont="1" applyFill="1" applyBorder="1" applyAlignment="1" applyProtection="1">
      <alignment horizontal="center" vertical="center"/>
      <protection locked="0"/>
    </xf>
    <xf numFmtId="164" fontId="19" fillId="12" borderId="0" xfId="0" applyNumberFormat="1" applyFont="1" applyFill="1" applyBorder="1" applyAlignment="1" applyProtection="1">
      <alignment horizontal="center" vertical="center"/>
      <protection locked="0"/>
    </xf>
    <xf numFmtId="164" fontId="19" fillId="41" borderId="0" xfId="0" applyNumberFormat="1" applyFont="1" applyFill="1" applyBorder="1" applyAlignment="1" applyProtection="1">
      <alignment horizontal="center" vertical="center"/>
      <protection locked="0"/>
    </xf>
    <xf numFmtId="174" fontId="19" fillId="41" borderId="0" xfId="0" applyNumberFormat="1" applyFont="1" applyFill="1" applyBorder="1" applyAlignment="1" applyProtection="1">
      <alignment horizontal="center" vertical="center"/>
      <protection locked="0"/>
    </xf>
    <xf numFmtId="180" fontId="30" fillId="12" borderId="0" xfId="0" applyNumberFormat="1" applyFont="1" applyFill="1" applyBorder="1" applyAlignment="1" applyProtection="1">
      <alignment horizontal="center" vertical="center" wrapText="1"/>
      <protection locked="0"/>
    </xf>
    <xf numFmtId="0" fontId="19" fillId="12" borderId="0" xfId="0" applyFont="1" applyFill="1" applyBorder="1" applyAlignment="1" applyProtection="1">
      <alignment horizontal="center" vertical="center" wrapText="1"/>
      <protection locked="0"/>
    </xf>
    <xf numFmtId="164" fontId="19" fillId="12" borderId="0" xfId="0" applyNumberFormat="1" applyFont="1" applyFill="1" applyBorder="1" applyAlignment="1" applyProtection="1">
      <alignment horizontal="center" vertical="center"/>
    </xf>
    <xf numFmtId="174" fontId="19" fillId="12" borderId="0" xfId="0" applyNumberFormat="1" applyFont="1" applyFill="1" applyBorder="1" applyAlignment="1" applyProtection="1">
      <alignment horizontal="center" vertical="center"/>
      <protection locked="0"/>
    </xf>
    <xf numFmtId="0" fontId="19" fillId="8" borderId="1" xfId="0" applyNumberFormat="1" applyFont="1" applyFill="1" applyBorder="1" applyAlignment="1" applyProtection="1">
      <alignment horizontal="center" vertical="center" wrapText="1"/>
      <protection locked="0"/>
    </xf>
    <xf numFmtId="0" fontId="13" fillId="12" borderId="0" xfId="3" quotePrefix="1" applyFill="1" applyAlignment="1" applyProtection="1">
      <alignment horizontal="left" vertical="center" indent="1"/>
    </xf>
    <xf numFmtId="0" fontId="39" fillId="12" borderId="0" xfId="0" quotePrefix="1" applyNumberFormat="1" applyFont="1" applyFill="1" applyAlignment="1" applyProtection="1">
      <alignment horizontal="left" vertical="center" indent="1"/>
    </xf>
    <xf numFmtId="0" fontId="14" fillId="12" borderId="0" xfId="0" quotePrefix="1" applyNumberFormat="1" applyFont="1" applyFill="1" applyAlignment="1" applyProtection="1">
      <alignment horizontal="left" vertical="center" wrapText="1"/>
    </xf>
    <xf numFmtId="49" fontId="19" fillId="0" borderId="1" xfId="0" applyNumberFormat="1" applyFont="1" applyBorder="1" applyAlignment="1" applyProtection="1">
      <alignment horizontal="center" vertical="center" wrapText="1"/>
      <protection locked="0"/>
    </xf>
    <xf numFmtId="0" fontId="19" fillId="42" borderId="1" xfId="0" applyNumberFormat="1" applyFont="1" applyFill="1" applyBorder="1" applyAlignment="1" applyProtection="1">
      <alignment horizontal="center" vertical="center" wrapText="1"/>
      <protection locked="0"/>
    </xf>
    <xf numFmtId="165" fontId="0" fillId="0" borderId="1" xfId="0" applyNumberFormat="1" applyBorder="1" applyAlignment="1">
      <alignment horizontal="left" vertical="center" wrapText="1"/>
    </xf>
    <xf numFmtId="0" fontId="7" fillId="0" borderId="1" xfId="6"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164" fontId="19" fillId="10" borderId="1" xfId="0" applyNumberFormat="1" applyFont="1" applyFill="1" applyBorder="1" applyAlignment="1">
      <alignment horizontal="center" vertical="center"/>
    </xf>
    <xf numFmtId="49" fontId="14" fillId="43" borderId="1" xfId="0" applyNumberFormat="1"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2" fontId="19" fillId="3" borderId="1" xfId="0" applyNumberFormat="1" applyFont="1" applyFill="1" applyBorder="1" applyAlignment="1">
      <alignment horizontal="center" vertical="center"/>
    </xf>
    <xf numFmtId="2" fontId="19" fillId="10" borderId="1" xfId="0" applyNumberFormat="1" applyFont="1" applyFill="1" applyBorder="1" applyAlignment="1">
      <alignment horizontal="center" vertical="center"/>
    </xf>
    <xf numFmtId="0" fontId="8" fillId="7" borderId="1" xfId="0" applyFont="1" applyFill="1" applyBorder="1" applyAlignment="1">
      <alignment vertical="center" wrapText="1"/>
    </xf>
    <xf numFmtId="49" fontId="19" fillId="43" borderId="1" xfId="0" applyNumberFormat="1"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0" xfId="0" applyFont="1" applyBorder="1" applyAlignment="1">
      <alignment horizontal="left" vertical="center" wrapText="1" indent="1"/>
    </xf>
    <xf numFmtId="0" fontId="41" fillId="0" borderId="1" xfId="20" applyFont="1" applyBorder="1" applyAlignment="1">
      <alignment horizontal="center" vertical="center" wrapText="1"/>
    </xf>
    <xf numFmtId="0" fontId="19" fillId="0" borderId="1" xfId="0" applyFont="1" applyBorder="1" applyAlignment="1">
      <alignment horizontal="center" vertical="center" wrapText="1"/>
    </xf>
    <xf numFmtId="43" fontId="0" fillId="2" borderId="0" xfId="7" applyFont="1" applyFill="1" applyAlignment="1">
      <alignment vertical="center"/>
    </xf>
    <xf numFmtId="0" fontId="22" fillId="2" borderId="0" xfId="0" applyFont="1" applyFill="1"/>
    <xf numFmtId="0" fontId="19" fillId="12" borderId="1" xfId="0" applyFont="1" applyFill="1" applyBorder="1" applyAlignment="1" applyProtection="1">
      <alignment horizontal="center" vertical="center" wrapText="1"/>
      <protection locked="0"/>
    </xf>
    <xf numFmtId="165" fontId="0" fillId="2" borderId="0" xfId="0" applyNumberFormat="1" applyFill="1"/>
    <xf numFmtId="0" fontId="0" fillId="44" borderId="0" xfId="0" applyFill="1" applyProtection="1"/>
    <xf numFmtId="0" fontId="8" fillId="44" borderId="6" xfId="0" applyFont="1" applyFill="1" applyBorder="1" applyAlignment="1" applyProtection="1">
      <alignment horizontal="left" vertical="center" wrapText="1"/>
    </xf>
    <xf numFmtId="49" fontId="7" fillId="44" borderId="1" xfId="8" quotePrefix="1" applyNumberFormat="1" applyFont="1" applyFill="1" applyBorder="1" applyAlignment="1" applyProtection="1">
      <alignment horizontal="center" vertical="center" wrapText="1"/>
    </xf>
    <xf numFmtId="49" fontId="7" fillId="44" borderId="1" xfId="11" quotePrefix="1" applyNumberFormat="1" applyFont="1" applyFill="1" applyBorder="1" applyAlignment="1" applyProtection="1">
      <alignment horizontal="center" vertical="center" wrapText="1"/>
    </xf>
    <xf numFmtId="0" fontId="7" fillId="44" borderId="1" xfId="13" applyFont="1" applyFill="1" applyBorder="1" applyAlignment="1" applyProtection="1">
      <alignment vertical="center"/>
      <protection locked="0"/>
    </xf>
    <xf numFmtId="175" fontId="5" fillId="44" borderId="1" xfId="9" applyNumberFormat="1" applyFill="1" applyBorder="1" applyAlignment="1" applyProtection="1">
      <alignment vertical="center"/>
    </xf>
    <xf numFmtId="175" fontId="5" fillId="44" borderId="1" xfId="12" applyNumberFormat="1" applyFill="1" applyBorder="1" applyAlignment="1" applyProtection="1">
      <alignment vertical="center"/>
    </xf>
    <xf numFmtId="0" fontId="8" fillId="44" borderId="1" xfId="0" applyFont="1" applyFill="1" applyBorder="1" applyAlignment="1" applyProtection="1">
      <alignment horizontal="left" vertical="center" wrapText="1"/>
    </xf>
    <xf numFmtId="0" fontId="7" fillId="44" borderId="1" xfId="8" quotePrefix="1" applyFont="1" applyFill="1" applyBorder="1" applyAlignment="1" applyProtection="1">
      <alignment horizontal="center" vertical="center" wrapText="1"/>
    </xf>
    <xf numFmtId="0" fontId="7" fillId="44" borderId="1" xfId="11" quotePrefix="1" applyFont="1" applyFill="1" applyBorder="1" applyAlignment="1" applyProtection="1">
      <alignment horizontal="center" vertical="center" wrapText="1"/>
    </xf>
    <xf numFmtId="0" fontId="7" fillId="44" borderId="1" xfId="13" applyFont="1" applyFill="1" applyBorder="1" applyAlignment="1" applyProtection="1">
      <alignment vertical="center" wrapText="1"/>
    </xf>
    <xf numFmtId="176" fontId="7" fillId="44" borderId="1" xfId="9" applyNumberFormat="1" applyFont="1" applyFill="1" applyBorder="1" applyAlignment="1" applyProtection="1">
      <alignment vertical="center"/>
      <protection locked="0"/>
    </xf>
    <xf numFmtId="176" fontId="7" fillId="44" borderId="1" xfId="10" applyNumberFormat="1" applyFont="1" applyFill="1" applyBorder="1" applyAlignment="1" applyProtection="1">
      <alignment vertical="center"/>
      <protection locked="0"/>
    </xf>
    <xf numFmtId="0" fontId="4" fillId="44" borderId="1" xfId="13" applyFont="1" applyFill="1" applyBorder="1" applyAlignment="1" applyProtection="1">
      <alignment vertical="center" wrapText="1"/>
    </xf>
    <xf numFmtId="177" fontId="5" fillId="44" borderId="1" xfId="9" applyNumberFormat="1" applyFill="1" applyBorder="1" applyAlignment="1" applyProtection="1">
      <alignment vertical="center"/>
    </xf>
    <xf numFmtId="177" fontId="7" fillId="44" borderId="1" xfId="10" applyNumberFormat="1" applyFont="1" applyFill="1" applyBorder="1" applyAlignment="1" applyProtection="1">
      <alignment vertical="center"/>
    </xf>
    <xf numFmtId="0" fontId="7" fillId="0" borderId="0" xfId="0" quotePrefix="1" applyFont="1" applyAlignment="1" applyProtection="1"/>
    <xf numFmtId="0" fontId="7" fillId="0" borderId="0" xfId="1" applyNumberFormat="1" applyFont="1" applyFill="1" applyBorder="1" applyAlignment="1" applyProtection="1">
      <alignment horizontal="center" wrapText="1"/>
    </xf>
    <xf numFmtId="0" fontId="8" fillId="7" borderId="1" xfId="0" applyFont="1" applyFill="1" applyBorder="1" applyAlignment="1">
      <alignment horizontal="center" vertical="center" wrapText="1"/>
    </xf>
    <xf numFmtId="174" fontId="19" fillId="14" borderId="3" xfId="6" applyNumberFormat="1" applyFont="1" applyFill="1" applyBorder="1" applyAlignment="1" applyProtection="1">
      <alignment horizontal="center" vertical="center" wrapText="1"/>
      <protection locked="0"/>
    </xf>
    <xf numFmtId="0" fontId="8" fillId="7" borderId="3" xfId="6" applyFont="1" applyFill="1" applyBorder="1" applyAlignment="1" applyProtection="1">
      <alignment horizontal="center" vertical="center" wrapText="1"/>
      <protection locked="0"/>
    </xf>
    <xf numFmtId="0" fontId="8" fillId="7" borderId="5" xfId="6"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49" fontId="19" fillId="0" borderId="1" xfId="0" quotePrefix="1"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3" fontId="19" fillId="0" borderId="1" xfId="0" quotePrefix="1" applyNumberFormat="1" applyFont="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protection locked="0"/>
    </xf>
    <xf numFmtId="0" fontId="43" fillId="7" borderId="1" xfId="6" quotePrefix="1" applyFont="1" applyFill="1" applyBorder="1" applyAlignment="1">
      <alignment horizontal="center" vertical="center" wrapText="1"/>
    </xf>
    <xf numFmtId="0" fontId="43" fillId="7" borderId="1" xfId="0" applyFont="1" applyFill="1" applyBorder="1" applyAlignment="1">
      <alignment horizontal="center" vertical="center" wrapText="1"/>
    </xf>
    <xf numFmtId="0" fontId="43" fillId="7" borderId="1" xfId="0" quotePrefix="1" applyFont="1" applyFill="1" applyBorder="1" applyAlignment="1">
      <alignment horizontal="center" vertical="center" wrapText="1"/>
    </xf>
    <xf numFmtId="185" fontId="44" fillId="13" borderId="1" xfId="0" applyNumberFormat="1" applyFont="1" applyFill="1" applyBorder="1" applyAlignment="1" applyProtection="1">
      <alignment horizontal="center" vertical="center"/>
      <protection locked="0"/>
    </xf>
    <xf numFmtId="185" fontId="45" fillId="14" borderId="1" xfId="0" applyNumberFormat="1" applyFont="1" applyFill="1" applyBorder="1" applyAlignment="1" applyProtection="1">
      <alignment horizontal="center" vertical="center"/>
      <protection locked="0"/>
    </xf>
    <xf numFmtId="185" fontId="44" fillId="15" borderId="1" xfId="0" applyNumberFormat="1" applyFont="1" applyFill="1" applyBorder="1" applyAlignment="1" applyProtection="1">
      <alignment horizontal="center" vertical="center"/>
      <protection locked="0"/>
    </xf>
    <xf numFmtId="164" fontId="45" fillId="10" borderId="1" xfId="0" applyNumberFormat="1" applyFont="1" applyFill="1" applyBorder="1" applyAlignment="1" applyProtection="1">
      <alignment horizontal="center" vertical="center"/>
      <protection locked="0"/>
    </xf>
    <xf numFmtId="186" fontId="45" fillId="3" borderId="1" xfId="0" applyNumberFormat="1" applyFont="1" applyFill="1" applyBorder="1" applyAlignment="1" applyProtection="1">
      <alignment horizontal="center" vertical="center"/>
      <protection locked="0"/>
    </xf>
    <xf numFmtId="185" fontId="45" fillId="3" borderId="1" xfId="0" applyNumberFormat="1" applyFont="1" applyFill="1" applyBorder="1" applyAlignment="1" applyProtection="1">
      <alignment horizontal="center" vertical="center"/>
      <protection locked="0"/>
    </xf>
    <xf numFmtId="164" fontId="45" fillId="10" borderId="1" xfId="0" applyNumberFormat="1" applyFont="1" applyFill="1" applyBorder="1" applyAlignment="1">
      <alignment horizontal="center" vertical="center"/>
    </xf>
    <xf numFmtId="174" fontId="45" fillId="9" borderId="1" xfId="0" applyNumberFormat="1" applyFont="1" applyFill="1" applyBorder="1" applyAlignment="1" applyProtection="1">
      <alignment horizontal="center" vertical="center"/>
      <protection locked="0"/>
    </xf>
    <xf numFmtId="179" fontId="44" fillId="16" borderId="1" xfId="0" applyNumberFormat="1" applyFont="1" applyFill="1" applyBorder="1" applyAlignment="1" applyProtection="1">
      <alignment horizontal="center" vertical="center"/>
      <protection locked="0"/>
    </xf>
    <xf numFmtId="179" fontId="45" fillId="17" borderId="1" xfId="0" applyNumberFormat="1" applyFont="1" applyFill="1" applyBorder="1" applyAlignment="1" applyProtection="1">
      <alignment horizontal="center" vertical="center"/>
      <protection locked="0"/>
    </xf>
    <xf numFmtId="179" fontId="44" fillId="15" borderId="1" xfId="0" applyNumberFormat="1" applyFont="1" applyFill="1" applyBorder="1" applyAlignment="1" applyProtection="1">
      <alignment horizontal="center" vertical="center"/>
      <protection locked="0"/>
    </xf>
    <xf numFmtId="0" fontId="43" fillId="11" borderId="1" xfId="0" applyFont="1" applyFill="1" applyBorder="1" applyAlignment="1">
      <alignment vertical="center" wrapText="1"/>
    </xf>
    <xf numFmtId="0" fontId="45" fillId="8" borderId="1" xfId="0" applyFont="1" applyFill="1" applyBorder="1" applyAlignment="1" applyProtection="1">
      <alignment horizontal="center" vertical="center" wrapText="1"/>
      <protection locked="0"/>
    </xf>
    <xf numFmtId="0" fontId="46" fillId="0" borderId="1" xfId="20" applyFont="1" applyBorder="1" applyAlignment="1">
      <alignment horizontal="center" vertical="center" wrapText="1"/>
    </xf>
    <xf numFmtId="2" fontId="45" fillId="10" borderId="1" xfId="0" applyNumberFormat="1" applyFont="1" applyFill="1" applyBorder="1" applyAlignment="1" applyProtection="1">
      <alignment horizontal="center" vertical="center"/>
      <protection locked="0"/>
    </xf>
    <xf numFmtId="2" fontId="45" fillId="10" borderId="1" xfId="0" applyNumberFormat="1" applyFont="1" applyFill="1" applyBorder="1" applyAlignment="1">
      <alignment horizontal="center" vertical="center"/>
    </xf>
    <xf numFmtId="0" fontId="43" fillId="7" borderId="1" xfId="0" applyFont="1" applyFill="1" applyBorder="1" applyAlignment="1">
      <alignment vertical="center" wrapText="1"/>
    </xf>
    <xf numFmtId="0" fontId="7" fillId="0" borderId="6" xfId="6" applyBorder="1" applyAlignment="1">
      <alignment horizontal="center" vertical="center" wrapText="1"/>
    </xf>
    <xf numFmtId="0" fontId="7" fillId="0" borderId="1" xfId="6" applyBorder="1" applyAlignment="1">
      <alignment horizontal="center" vertical="center" wrapText="1"/>
    </xf>
    <xf numFmtId="0" fontId="7" fillId="4" borderId="1" xfId="6" applyFill="1" applyBorder="1" applyAlignment="1">
      <alignment horizontal="center" vertical="center" wrapText="1"/>
    </xf>
    <xf numFmtId="0" fontId="7" fillId="4" borderId="3" xfId="6" applyFill="1" applyBorder="1" applyAlignment="1">
      <alignment horizontal="center" vertical="center" wrapText="1"/>
    </xf>
    <xf numFmtId="0" fontId="7" fillId="0" borderId="14" xfId="6" applyBorder="1" applyAlignment="1">
      <alignment horizontal="center" vertical="center" wrapText="1"/>
    </xf>
    <xf numFmtId="0" fontId="8" fillId="7" borderId="1" xfId="0" applyFont="1" applyFill="1" applyBorder="1" applyAlignment="1">
      <alignment horizontal="center" vertical="center" wrapText="1"/>
    </xf>
    <xf numFmtId="0" fontId="8" fillId="0" borderId="3"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7" borderId="1" xfId="0" applyFont="1" applyFill="1" applyBorder="1" applyAlignment="1">
      <alignment horizontal="center" vertical="center" wrapText="1"/>
    </xf>
    <xf numFmtId="0" fontId="47" fillId="0" borderId="0" xfId="0" applyFont="1" applyProtection="1">
      <protection locked="0"/>
    </xf>
    <xf numFmtId="0" fontId="8" fillId="7" borderId="6" xfId="0" applyFont="1" applyFill="1" applyBorder="1" applyAlignment="1" applyProtection="1">
      <alignment horizontal="left" vertical="center" wrapText="1" indent="1"/>
      <protection locked="0"/>
    </xf>
    <xf numFmtId="0" fontId="8" fillId="0" borderId="6" xfId="6" applyFont="1" applyBorder="1" applyAlignment="1">
      <alignment horizontal="left" vertical="center" wrapText="1" indent="1"/>
    </xf>
    <xf numFmtId="0" fontId="8" fillId="7" borderId="6" xfId="6" applyFont="1" applyFill="1" applyBorder="1" applyAlignment="1" applyProtection="1">
      <alignment horizontal="left" vertical="center" wrapText="1" indent="1"/>
      <protection locked="0"/>
    </xf>
    <xf numFmtId="0" fontId="7" fillId="0" borderId="33" xfId="6" applyBorder="1" applyAlignment="1">
      <alignment horizontal="center" vertical="center" wrapText="1"/>
    </xf>
    <xf numFmtId="0" fontId="8" fillId="7" borderId="6" xfId="0" applyFont="1" applyFill="1" applyBorder="1" applyAlignment="1" applyProtection="1">
      <alignment horizontal="left" vertical="center" wrapText="1" indent="1"/>
    </xf>
    <xf numFmtId="0" fontId="8" fillId="0" borderId="6" xfId="0" applyFont="1" applyBorder="1" applyAlignment="1" applyProtection="1">
      <alignment horizontal="left" vertical="center" wrapText="1" indent="1"/>
    </xf>
    <xf numFmtId="0" fontId="8" fillId="0" borderId="1" xfId="0" applyFont="1" applyBorder="1" applyAlignment="1" applyProtection="1">
      <alignment horizontal="left" vertical="center" wrapText="1" indent="1"/>
    </xf>
    <xf numFmtId="189" fontId="19" fillId="9" borderId="1" xfId="0" applyNumberFormat="1" applyFont="1" applyFill="1" applyBorder="1" applyAlignment="1" applyProtection="1">
      <alignment horizontal="center" vertical="center"/>
      <protection locked="0"/>
    </xf>
    <xf numFmtId="190" fontId="19" fillId="3" borderId="1" xfId="0" applyNumberFormat="1" applyFont="1" applyFill="1" applyBorder="1" applyAlignment="1" applyProtection="1">
      <alignment horizontal="center" vertical="center"/>
      <protection locked="0"/>
    </xf>
    <xf numFmtId="189" fontId="20" fillId="16" borderId="1" xfId="0" applyNumberFormat="1" applyFont="1" applyFill="1" applyBorder="1" applyAlignment="1" applyProtection="1">
      <alignment horizontal="center" vertical="center"/>
      <protection locked="0"/>
    </xf>
    <xf numFmtId="189" fontId="19" fillId="14" borderId="1" xfId="0" applyNumberFormat="1" applyFont="1" applyFill="1" applyBorder="1" applyAlignment="1" applyProtection="1">
      <alignment horizontal="center" vertical="center"/>
      <protection locked="0"/>
    </xf>
    <xf numFmtId="189" fontId="20" fillId="15" borderId="1" xfId="0" applyNumberFormat="1" applyFont="1" applyFill="1" applyBorder="1" applyAlignment="1" applyProtection="1">
      <alignment horizontal="center" vertical="center"/>
      <protection locked="0"/>
    </xf>
    <xf numFmtId="190" fontId="19" fillId="10" borderId="1" xfId="0" applyNumberFormat="1" applyFont="1" applyFill="1" applyBorder="1" applyAlignment="1" applyProtection="1">
      <alignment horizontal="center" vertical="center"/>
      <protection locked="0"/>
    </xf>
    <xf numFmtId="189" fontId="20" fillId="13" borderId="1" xfId="0" applyNumberFormat="1" applyFont="1" applyFill="1" applyBorder="1" applyAlignment="1" applyProtection="1">
      <alignment horizontal="center" vertical="center"/>
      <protection locked="0"/>
    </xf>
    <xf numFmtId="189" fontId="19" fillId="3" borderId="1" xfId="0" applyNumberFormat="1" applyFont="1" applyFill="1" applyBorder="1" applyAlignment="1" applyProtection="1">
      <alignment horizontal="center" vertical="center"/>
      <protection locked="0"/>
    </xf>
    <xf numFmtId="189" fontId="19" fillId="17" borderId="1" xfId="0" applyNumberFormat="1"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190" fontId="19" fillId="10" borderId="1" xfId="0" applyNumberFormat="1" applyFont="1" applyFill="1" applyBorder="1" applyAlignment="1">
      <alignment horizontal="center" vertical="center"/>
    </xf>
    <xf numFmtId="188" fontId="14" fillId="8" borderId="1" xfId="7" applyNumberFormat="1" applyFont="1" applyFill="1" applyBorder="1" applyAlignment="1" applyProtection="1">
      <alignment horizontal="center" vertical="center"/>
      <protection locked="0"/>
    </xf>
    <xf numFmtId="174" fontId="19" fillId="9" borderId="1" xfId="0" applyNumberFormat="1" applyFont="1" applyFill="1" applyBorder="1" applyAlignment="1" applyProtection="1">
      <alignment horizontal="center" vertical="center"/>
      <protection locked="0"/>
    </xf>
    <xf numFmtId="174" fontId="19" fillId="3" borderId="1" xfId="0" applyNumberFormat="1" applyFont="1" applyFill="1" applyBorder="1" applyAlignment="1" applyProtection="1">
      <alignment horizontal="center" vertical="center"/>
      <protection locked="0"/>
    </xf>
    <xf numFmtId="164" fontId="19" fillId="10"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164" fontId="19" fillId="10" borderId="1" xfId="0" applyNumberFormat="1" applyFont="1" applyFill="1" applyBorder="1" applyAlignment="1" applyProtection="1">
      <alignment horizontal="center" vertical="center"/>
    </xf>
    <xf numFmtId="179" fontId="20" fillId="13" borderId="1" xfId="0" applyNumberFormat="1" applyFont="1" applyFill="1" applyBorder="1" applyAlignment="1" applyProtection="1">
      <alignment horizontal="center" vertical="center"/>
      <protection locked="0"/>
    </xf>
    <xf numFmtId="179" fontId="19" fillId="14" borderId="1" xfId="0" applyNumberFormat="1" applyFont="1" applyFill="1" applyBorder="1" applyAlignment="1" applyProtection="1">
      <alignment horizontal="center" vertical="center"/>
      <protection locked="0"/>
    </xf>
    <xf numFmtId="179" fontId="20" fillId="15" borderId="1" xfId="0" applyNumberFormat="1" applyFont="1" applyFill="1" applyBorder="1" applyAlignment="1" applyProtection="1">
      <alignment horizontal="center" vertical="center"/>
      <protection locked="0"/>
    </xf>
    <xf numFmtId="179" fontId="20" fillId="16" borderId="1" xfId="0" applyNumberFormat="1" applyFont="1" applyFill="1" applyBorder="1" applyAlignment="1" applyProtection="1">
      <alignment horizontal="center" vertical="center"/>
      <protection locked="0"/>
    </xf>
    <xf numFmtId="179" fontId="19" fillId="17" borderId="1" xfId="0" applyNumberFormat="1" applyFont="1" applyFill="1" applyBorder="1" applyAlignment="1" applyProtection="1">
      <alignment horizontal="center" vertical="center"/>
      <protection locked="0"/>
    </xf>
    <xf numFmtId="0" fontId="0" fillId="0" borderId="0" xfId="0"/>
    <xf numFmtId="0" fontId="8" fillId="7" borderId="1" xfId="0" applyFont="1" applyFill="1" applyBorder="1" applyAlignment="1" applyProtection="1">
      <alignment horizontal="center" vertical="center" wrapText="1"/>
      <protection locked="0"/>
    </xf>
    <xf numFmtId="174" fontId="19" fillId="9" borderId="1" xfId="0" applyNumberFormat="1" applyFont="1" applyFill="1" applyBorder="1" applyAlignment="1" applyProtection="1">
      <alignment horizontal="center" vertical="center"/>
      <protection locked="0"/>
    </xf>
    <xf numFmtId="174" fontId="19" fillId="3" borderId="1" xfId="0" applyNumberFormat="1" applyFont="1" applyFill="1" applyBorder="1" applyAlignment="1" applyProtection="1">
      <alignment horizontal="center" vertical="center"/>
      <protection locked="0"/>
    </xf>
    <xf numFmtId="179" fontId="20" fillId="13" borderId="1" xfId="0" applyNumberFormat="1" applyFont="1" applyFill="1" applyBorder="1" applyAlignment="1" applyProtection="1">
      <alignment horizontal="center" vertical="center"/>
      <protection locked="0"/>
    </xf>
    <xf numFmtId="179" fontId="19" fillId="14" borderId="1" xfId="0" applyNumberFormat="1" applyFont="1" applyFill="1" applyBorder="1" applyAlignment="1" applyProtection="1">
      <alignment horizontal="center" vertical="center"/>
      <protection locked="0"/>
    </xf>
    <xf numFmtId="179" fontId="20" fillId="15" borderId="1" xfId="0" applyNumberFormat="1" applyFont="1" applyFill="1" applyBorder="1" applyAlignment="1" applyProtection="1">
      <alignment horizontal="center" vertical="center"/>
      <protection locked="0"/>
    </xf>
    <xf numFmtId="179" fontId="20" fillId="16" borderId="1" xfId="0" applyNumberFormat="1" applyFont="1" applyFill="1" applyBorder="1" applyAlignment="1" applyProtection="1">
      <alignment horizontal="center" vertical="center"/>
      <protection locked="0"/>
    </xf>
    <xf numFmtId="179" fontId="19" fillId="17" borderId="1" xfId="0" applyNumberFormat="1" applyFont="1" applyFill="1" applyBorder="1" applyAlignment="1" applyProtection="1">
      <alignment horizontal="center" vertical="center"/>
      <protection locked="0"/>
    </xf>
    <xf numFmtId="0" fontId="13" fillId="0" borderId="0" xfId="3" applyFill="1" applyAlignment="1" applyProtection="1">
      <alignment horizontal="left" vertical="center"/>
    </xf>
    <xf numFmtId="0" fontId="41" fillId="0" borderId="1" xfId="20" applyFont="1" applyFill="1" applyBorder="1" applyAlignment="1" applyProtection="1">
      <alignment horizontal="center" vertical="center" wrapText="1"/>
    </xf>
    <xf numFmtId="2" fontId="19" fillId="10" borderId="1" xfId="0" applyNumberFormat="1" applyFont="1" applyFill="1" applyBorder="1" applyAlignment="1" applyProtection="1">
      <alignment horizontal="center" vertical="center"/>
      <protection locked="0"/>
    </xf>
    <xf numFmtId="2" fontId="19" fillId="3" borderId="1" xfId="0" applyNumberFormat="1" applyFont="1" applyFill="1" applyBorder="1" applyAlignment="1" applyProtection="1">
      <alignment horizontal="center" vertical="center"/>
      <protection locked="0"/>
    </xf>
    <xf numFmtId="2" fontId="19" fillId="3" borderId="1" xfId="0" applyNumberFormat="1" applyFont="1" applyFill="1" applyBorder="1" applyAlignment="1" applyProtection="1">
      <alignment horizontal="center" vertical="center"/>
    </xf>
    <xf numFmtId="2" fontId="19" fillId="10" borderId="1" xfId="0" applyNumberFormat="1"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187" fontId="14" fillId="8" borderId="1" xfId="0" applyNumberFormat="1" applyFont="1" applyFill="1" applyBorder="1" applyAlignment="1" applyProtection="1">
      <alignment horizontal="center" vertical="center"/>
      <protection locked="0"/>
    </xf>
    <xf numFmtId="190" fontId="19" fillId="3" borderId="1" xfId="0" applyNumberFormat="1" applyFont="1" applyFill="1" applyBorder="1" applyAlignment="1">
      <alignment horizontal="center" vertical="center"/>
    </xf>
    <xf numFmtId="0" fontId="45" fillId="12" borderId="1" xfId="0" applyFont="1" applyFill="1" applyBorder="1" applyAlignment="1" applyProtection="1">
      <alignment horizontal="center" vertical="center" wrapText="1"/>
      <protection locked="0"/>
    </xf>
    <xf numFmtId="14" fontId="16" fillId="12" borderId="0" xfId="1" applyNumberFormat="1" applyFont="1" applyFill="1" applyBorder="1" applyAlignment="1">
      <alignment horizontal="center" vertical="center" wrapText="1"/>
    </xf>
    <xf numFmtId="0" fontId="41" fillId="12" borderId="1" xfId="20" applyFont="1" applyFill="1" applyBorder="1" applyAlignment="1">
      <alignment horizontal="center" vertical="center" wrapText="1"/>
    </xf>
    <xf numFmtId="0" fontId="19" fillId="12" borderId="1" xfId="0" applyFont="1" applyFill="1" applyBorder="1" applyAlignment="1">
      <alignment horizontal="center" vertical="center" wrapText="1"/>
    </xf>
    <xf numFmtId="14" fontId="0" fillId="12" borderId="0" xfId="0" applyNumberFormat="1" applyFill="1" applyAlignment="1">
      <alignment vertical="center"/>
    </xf>
    <xf numFmtId="14" fontId="7" fillId="0" borderId="16" xfId="0" applyNumberFormat="1" applyFont="1" applyFill="1" applyBorder="1" applyAlignment="1">
      <alignment horizontal="center" vertical="center" wrapText="1"/>
    </xf>
    <xf numFmtId="3" fontId="19" fillId="8" borderId="1" xfId="0" quotePrefix="1" applyNumberFormat="1" applyFont="1" applyFill="1" applyBorder="1" applyAlignment="1" applyProtection="1">
      <alignment horizontal="center" vertical="center" wrapText="1"/>
      <protection locked="0"/>
    </xf>
    <xf numFmtId="14" fontId="0" fillId="12" borderId="0" xfId="0" applyNumberFormat="1" applyFill="1" applyBorder="1" applyAlignment="1" applyProtection="1">
      <alignment horizontal="left" vertical="center" indent="1"/>
    </xf>
    <xf numFmtId="0" fontId="7" fillId="0" borderId="0" xfId="0" quotePrefix="1" applyFont="1" applyAlignment="1">
      <alignment horizontal="left" wrapText="1"/>
    </xf>
    <xf numFmtId="0" fontId="18" fillId="0" borderId="0" xfId="0" quotePrefix="1" applyNumberFormat="1" applyFont="1" applyAlignment="1" applyProtection="1">
      <alignment horizontal="left" wrapText="1"/>
    </xf>
    <xf numFmtId="0" fontId="14" fillId="0" borderId="0" xfId="0" quotePrefix="1" applyNumberFormat="1" applyFont="1" applyAlignment="1" applyProtection="1">
      <alignment horizontal="left" vertical="center" wrapText="1"/>
    </xf>
    <xf numFmtId="0" fontId="7" fillId="0" borderId="0" xfId="0" quotePrefix="1"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quotePrefix="1" applyFont="1" applyAlignment="1" applyProtection="1">
      <alignment horizontal="left" vertical="top" wrapText="1"/>
      <protection locked="0"/>
    </xf>
    <xf numFmtId="0" fontId="14" fillId="0" borderId="0" xfId="0" quotePrefix="1" applyNumberFormat="1" applyFont="1" applyFill="1" applyAlignment="1" applyProtection="1">
      <alignment horizontal="left" wrapText="1"/>
    </xf>
    <xf numFmtId="49" fontId="11" fillId="6" borderId="0" xfId="1" applyNumberFormat="1" applyFont="1" applyFill="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lignment vertical="center"/>
    </xf>
    <xf numFmtId="0" fontId="14" fillId="0" borderId="0" xfId="0" quotePrefix="1" applyNumberFormat="1" applyFont="1" applyAlignment="1" applyProtection="1">
      <alignment horizontal="left" wrapText="1"/>
    </xf>
    <xf numFmtId="49" fontId="11" fillId="6" borderId="0" xfId="1" applyNumberFormat="1" applyFont="1" applyFill="1" applyAlignment="1" applyProtection="1">
      <alignment horizontal="left" vertical="center" wrapText="1"/>
      <protection locked="0"/>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42" borderId="3" xfId="0" applyFont="1" applyFill="1" applyBorder="1" applyAlignment="1">
      <alignment horizontal="center" vertical="center" wrapText="1"/>
    </xf>
    <xf numFmtId="0" fontId="7" fillId="42" borderId="5" xfId="0" applyFont="1" applyFill="1" applyBorder="1" applyAlignment="1">
      <alignment horizontal="center" vertical="center" wrapText="1"/>
    </xf>
    <xf numFmtId="0" fontId="8" fillId="0" borderId="4" xfId="0" applyFont="1" applyBorder="1" applyAlignment="1">
      <alignment horizontal="left" vertical="center" wrapText="1" indent="1"/>
    </xf>
    <xf numFmtId="174" fontId="19" fillId="14" borderId="3" xfId="0" applyNumberFormat="1" applyFont="1" applyFill="1" applyBorder="1" applyAlignment="1" applyProtection="1">
      <alignment horizontal="center" vertical="center"/>
      <protection locked="0"/>
    </xf>
    <xf numFmtId="174" fontId="19" fillId="14"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2" borderId="8" xfId="6" quotePrefix="1" applyFont="1" applyFill="1" applyBorder="1" applyAlignment="1">
      <alignment horizontal="center" vertical="center" wrapText="1"/>
    </xf>
    <xf numFmtId="0" fontId="16" fillId="6" borderId="1" xfId="1" applyNumberFormat="1" applyFont="1" applyFill="1" applyBorder="1" applyAlignment="1">
      <alignment horizontal="center" vertical="center" wrapText="1"/>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174" fontId="8" fillId="14" borderId="3" xfId="0" applyNumberFormat="1" applyFont="1" applyFill="1" applyBorder="1" applyAlignment="1" applyProtection="1">
      <alignment horizontal="center" vertical="center"/>
      <protection locked="0"/>
    </xf>
    <xf numFmtId="174" fontId="8" fillId="14" borderId="5" xfId="0" applyNumberFormat="1" applyFont="1" applyFill="1" applyBorder="1" applyAlignment="1" applyProtection="1">
      <alignment horizontal="center" vertical="center"/>
      <protection locked="0"/>
    </xf>
    <xf numFmtId="0" fontId="29" fillId="0" borderId="13" xfId="15" quotePrefix="1" applyFill="1" applyBorder="1" applyAlignment="1">
      <alignment horizontal="left" vertical="top" wrapText="1"/>
    </xf>
    <xf numFmtId="0" fontId="29" fillId="0" borderId="8" xfId="15" quotePrefix="1" applyFill="1" applyBorder="1" applyAlignment="1">
      <alignment horizontal="left" vertical="top" wrapText="1"/>
    </xf>
    <xf numFmtId="0" fontId="7" fillId="0" borderId="8" xfId="6" quotePrefix="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7" fillId="0" borderId="14" xfId="0"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181" fontId="7" fillId="4" borderId="3" xfId="0" applyNumberFormat="1" applyFont="1" applyFill="1" applyBorder="1" applyAlignment="1">
      <alignment horizontal="center" vertical="center" wrapText="1"/>
    </xf>
    <xf numFmtId="181" fontId="7" fillId="4"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174" fontId="19" fillId="14" borderId="3" xfId="6" applyNumberFormat="1" applyFont="1" applyFill="1" applyBorder="1" applyAlignment="1" applyProtection="1">
      <alignment horizontal="center" vertical="center" wrapText="1"/>
      <protection locked="0"/>
    </xf>
    <xf numFmtId="174" fontId="19" fillId="14" borderId="5" xfId="6" applyNumberFormat="1" applyFont="1" applyFill="1" applyBorder="1" applyAlignment="1" applyProtection="1">
      <alignment horizontal="center" vertical="center" wrapText="1"/>
      <protection locked="0"/>
    </xf>
    <xf numFmtId="0" fontId="8" fillId="7" borderId="3" xfId="6" applyFont="1" applyFill="1" applyBorder="1" applyAlignment="1" applyProtection="1">
      <alignment horizontal="center" vertical="center" wrapText="1"/>
      <protection locked="0"/>
    </xf>
    <xf numFmtId="0" fontId="8" fillId="7" borderId="5" xfId="6" applyFont="1" applyFill="1" applyBorder="1" applyAlignment="1" applyProtection="1">
      <alignment horizontal="center" vertical="center" wrapText="1"/>
      <protection locked="0"/>
    </xf>
    <xf numFmtId="0" fontId="7" fillId="0" borderId="1" xfId="6" applyFont="1" applyBorder="1" applyAlignment="1">
      <alignment horizontal="center" vertical="center" wrapText="1"/>
    </xf>
    <xf numFmtId="0" fontId="8" fillId="0" borderId="1" xfId="6" applyFont="1" applyBorder="1" applyAlignment="1">
      <alignment horizontal="left" vertical="center" wrapText="1" indent="1"/>
    </xf>
    <xf numFmtId="0" fontId="7" fillId="0" borderId="1" xfId="6" applyFont="1" applyFill="1" applyBorder="1" applyAlignment="1">
      <alignment horizontal="center" vertical="center" wrapText="1"/>
    </xf>
    <xf numFmtId="0" fontId="7" fillId="0" borderId="14" xfId="6" applyFont="1" applyFill="1" applyBorder="1" applyAlignment="1">
      <alignment horizontal="center" vertical="center" wrapText="1"/>
    </xf>
    <xf numFmtId="0" fontId="8" fillId="0" borderId="3" xfId="6" applyFont="1" applyBorder="1" applyAlignment="1">
      <alignment horizontal="left" vertical="center" wrapText="1" indent="1"/>
    </xf>
    <xf numFmtId="0" fontId="8" fillId="0" borderId="4" xfId="6" applyFont="1" applyBorder="1" applyAlignment="1">
      <alignment horizontal="left" vertical="center" wrapText="1" indent="1"/>
    </xf>
    <xf numFmtId="0" fontId="8" fillId="0" borderId="5" xfId="6" applyFont="1" applyBorder="1" applyAlignment="1">
      <alignment horizontal="left" vertical="center" wrapText="1" indent="1"/>
    </xf>
    <xf numFmtId="181" fontId="7" fillId="12" borderId="3" xfId="0" applyNumberFormat="1" applyFont="1" applyFill="1" applyBorder="1" applyAlignment="1">
      <alignment horizontal="center" vertical="center" wrapText="1"/>
    </xf>
    <xf numFmtId="181" fontId="7" fillId="12"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1" fillId="29" borderId="3" xfId="1" applyNumberFormat="1" applyFont="1" applyFill="1" applyBorder="1" applyAlignment="1" applyProtection="1">
      <alignment horizontal="center" vertical="center" wrapText="1"/>
    </xf>
    <xf numFmtId="0" fontId="31" fillId="29" borderId="4" xfId="1" applyNumberFormat="1" applyFont="1" applyFill="1" applyBorder="1" applyAlignment="1" applyProtection="1">
      <alignment horizontal="center" vertical="center" wrapText="1"/>
    </xf>
    <xf numFmtId="0" fontId="31" fillId="29" borderId="5" xfId="1" applyNumberFormat="1" applyFont="1" applyFill="1" applyBorder="1" applyAlignment="1" applyProtection="1">
      <alignment horizontal="center" vertical="center" wrapText="1"/>
    </xf>
    <xf numFmtId="0" fontId="8" fillId="31" borderId="3" xfId="0" applyFont="1" applyFill="1" applyBorder="1" applyAlignment="1" applyProtection="1">
      <alignment horizontal="center" vertical="center" wrapText="1"/>
    </xf>
    <xf numFmtId="0" fontId="8" fillId="31" borderId="4" xfId="0" applyFont="1" applyFill="1" applyBorder="1" applyAlignment="1" applyProtection="1">
      <alignment horizontal="center" vertical="center" wrapText="1"/>
    </xf>
    <xf numFmtId="0" fontId="8" fillId="31" borderId="5" xfId="0" applyFont="1" applyFill="1" applyBorder="1" applyAlignment="1" applyProtection="1">
      <alignment horizontal="center" vertical="center" wrapText="1"/>
    </xf>
    <xf numFmtId="0" fontId="32" fillId="32" borderId="3" xfId="0" applyFont="1" applyFill="1" applyBorder="1" applyAlignment="1" applyProtection="1">
      <alignment horizontal="center" vertical="center" wrapText="1"/>
    </xf>
    <xf numFmtId="0" fontId="32" fillId="32" borderId="4" xfId="0" applyFont="1" applyFill="1" applyBorder="1" applyAlignment="1" applyProtection="1">
      <alignment horizontal="center" vertical="center" wrapText="1"/>
    </xf>
    <xf numFmtId="0" fontId="32" fillId="32" borderId="5" xfId="0"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7" fillId="0" borderId="4" xfId="0" applyFont="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23" fillId="13" borderId="3" xfId="0" applyFont="1" applyFill="1" applyBorder="1" applyAlignment="1" applyProtection="1">
      <alignment horizontal="center" vertical="center" wrapText="1"/>
      <protection locked="0"/>
    </xf>
    <xf numFmtId="0" fontId="23" fillId="13" borderId="4" xfId="0" applyFont="1" applyFill="1" applyBorder="1" applyAlignment="1" applyProtection="1">
      <alignment horizontal="center" vertical="center" wrapText="1"/>
      <protection locked="0"/>
    </xf>
    <xf numFmtId="0" fontId="23" fillId="13" borderId="5" xfId="0" applyFont="1" applyFill="1" applyBorder="1" applyAlignment="1" applyProtection="1">
      <alignment horizontal="center" vertical="center" wrapText="1"/>
      <protection locked="0"/>
    </xf>
    <xf numFmtId="0" fontId="7" fillId="28" borderId="1" xfId="0" applyFont="1" applyFill="1" applyBorder="1" applyAlignment="1">
      <alignment horizontal="center" vertical="center" wrapText="1"/>
    </xf>
    <xf numFmtId="0" fontId="7" fillId="2" borderId="8" xfId="6" quotePrefix="1" applyFont="1" applyFill="1" applyBorder="1" applyAlignment="1" applyProtection="1">
      <alignment horizontal="left" vertical="center" wrapText="1"/>
    </xf>
    <xf numFmtId="0" fontId="16" fillId="6" borderId="1" xfId="1" applyNumberFormat="1" applyFont="1" applyFill="1" applyBorder="1" applyAlignment="1" applyProtection="1">
      <alignment horizontal="center" vertical="center" wrapText="1"/>
    </xf>
    <xf numFmtId="0" fontId="31" fillId="29" borderId="1" xfId="1" applyNumberFormat="1" applyFont="1" applyFill="1" applyBorder="1" applyAlignment="1" applyProtection="1">
      <alignment horizontal="center" vertical="center" wrapText="1"/>
    </xf>
    <xf numFmtId="0" fontId="8" fillId="31" borderId="11" xfId="0" applyFont="1" applyFill="1" applyBorder="1" applyAlignment="1" applyProtection="1">
      <alignment horizontal="center" vertical="center" wrapText="1"/>
    </xf>
    <xf numFmtId="0" fontId="8" fillId="31" borderId="0" xfId="0" applyFont="1" applyFill="1" applyBorder="1" applyAlignment="1" applyProtection="1">
      <alignment horizontal="center" vertical="center" wrapText="1"/>
    </xf>
    <xf numFmtId="0" fontId="32" fillId="32"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1" fontId="7" fillId="33" borderId="3" xfId="0" applyNumberFormat="1" applyFont="1" applyFill="1" applyBorder="1" applyAlignment="1">
      <alignment horizontal="center" vertical="center" wrapText="1"/>
    </xf>
    <xf numFmtId="1" fontId="7" fillId="33" borderId="4" xfId="0" applyNumberFormat="1" applyFont="1" applyFill="1" applyBorder="1" applyAlignment="1">
      <alignment horizontal="center" vertical="center" wrapText="1"/>
    </xf>
    <xf numFmtId="1" fontId="7" fillId="33" borderId="5" xfId="0" applyNumberFormat="1"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0" fontId="8" fillId="31" borderId="11" xfId="6" applyFont="1" applyFill="1" applyBorder="1" applyAlignment="1" applyProtection="1">
      <alignment horizontal="center" vertical="center" wrapText="1"/>
    </xf>
    <xf numFmtId="0" fontId="8" fillId="31" borderId="0" xfId="6" applyFont="1" applyFill="1" applyBorder="1" applyAlignment="1" applyProtection="1">
      <alignment horizontal="center" vertical="center" wrapText="1"/>
    </xf>
    <xf numFmtId="0" fontId="32" fillId="32" borderId="3" xfId="6" applyFont="1" applyFill="1" applyBorder="1" applyAlignment="1" applyProtection="1">
      <alignment horizontal="center" vertical="center" wrapText="1"/>
    </xf>
    <xf numFmtId="0" fontId="32" fillId="32" borderId="4" xfId="6" applyFont="1" applyFill="1" applyBorder="1" applyAlignment="1" applyProtection="1">
      <alignment horizontal="center" vertical="center" wrapText="1"/>
    </xf>
    <xf numFmtId="0" fontId="32" fillId="32" borderId="5" xfId="6" applyFont="1" applyFill="1" applyBorder="1" applyAlignment="1" applyProtection="1">
      <alignment horizontal="center" vertical="center" wrapText="1"/>
    </xf>
    <xf numFmtId="0" fontId="8" fillId="0" borderId="22" xfId="6" applyFont="1" applyBorder="1" applyAlignment="1" applyProtection="1">
      <alignment horizontal="left" vertical="center" wrapText="1"/>
    </xf>
    <xf numFmtId="0" fontId="7" fillId="0" borderId="22" xfId="6" applyFont="1" applyBorder="1" applyAlignment="1" applyProtection="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6" applyFont="1" applyBorder="1" applyAlignment="1">
      <alignment horizontal="left" vertical="center" wrapText="1"/>
    </xf>
    <xf numFmtId="0" fontId="7" fillId="0" borderId="3" xfId="6" applyFont="1" applyBorder="1" applyAlignment="1">
      <alignment horizontal="center" vertical="center" wrapText="1"/>
    </xf>
    <xf numFmtId="0" fontId="7" fillId="0" borderId="4" xfId="6" applyFont="1" applyBorder="1" applyAlignment="1">
      <alignment horizontal="center" vertical="center" wrapText="1"/>
    </xf>
    <xf numFmtId="0" fontId="7" fillId="0" borderId="5" xfId="6" applyFont="1" applyBorder="1" applyAlignment="1">
      <alignment horizontal="center" vertical="center" wrapText="1"/>
    </xf>
    <xf numFmtId="0" fontId="7" fillId="0" borderId="23" xfId="6" applyFont="1" applyBorder="1" applyAlignment="1" applyProtection="1">
      <alignment horizontal="center" vertical="center" wrapText="1"/>
    </xf>
    <xf numFmtId="0" fontId="7" fillId="0" borderId="4" xfId="6" applyFont="1" applyBorder="1" applyAlignment="1" applyProtection="1">
      <alignment horizontal="center" vertical="center" wrapText="1"/>
    </xf>
    <xf numFmtId="0" fontId="7" fillId="0" borderId="24" xfId="6" applyFont="1" applyBorder="1" applyAlignment="1" applyProtection="1">
      <alignment horizontal="center" vertical="center" wrapText="1"/>
    </xf>
    <xf numFmtId="0" fontId="8" fillId="0" borderId="22" xfId="0" applyFont="1" applyBorder="1" applyAlignment="1" applyProtection="1">
      <alignment horizontal="left" vertical="center" wrapText="1"/>
    </xf>
    <xf numFmtId="0" fontId="7" fillId="0" borderId="2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10" fillId="0" borderId="1" xfId="0" applyFont="1" applyBorder="1" applyAlignment="1">
      <alignment wrapText="1"/>
    </xf>
    <xf numFmtId="0" fontId="8" fillId="0" borderId="1" xfId="0" applyFont="1" applyBorder="1" applyAlignment="1"/>
    <xf numFmtId="0" fontId="8" fillId="7" borderId="1"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7" fillId="0" borderId="20" xfId="6" applyBorder="1" applyAlignment="1">
      <alignment horizontal="center" vertical="center" wrapText="1"/>
    </xf>
    <xf numFmtId="0" fontId="7" fillId="0" borderId="21" xfId="6" applyBorder="1" applyAlignment="1">
      <alignment horizontal="center" vertical="center" wrapText="1"/>
    </xf>
    <xf numFmtId="0" fontId="7" fillId="0" borderId="3" xfId="6" applyBorder="1" applyAlignment="1">
      <alignment horizontal="center" vertical="center" wrapText="1"/>
    </xf>
    <xf numFmtId="0" fontId="7" fillId="0" borderId="4" xfId="6" applyBorder="1" applyAlignment="1">
      <alignment horizontal="center" vertical="center" wrapText="1"/>
    </xf>
    <xf numFmtId="0" fontId="7" fillId="0" borderId="5" xfId="6" applyBorder="1" applyAlignment="1">
      <alignment horizontal="center" vertical="center" wrapText="1"/>
    </xf>
    <xf numFmtId="0" fontId="8" fillId="0" borderId="1" xfId="0" applyFont="1" applyBorder="1" applyAlignment="1" applyProtection="1">
      <alignment horizontal="left" vertical="center" wrapText="1" indent="1"/>
    </xf>
    <xf numFmtId="14" fontId="8" fillId="0" borderId="3" xfId="0" applyNumberFormat="1" applyFont="1" applyBorder="1" applyAlignment="1" applyProtection="1">
      <alignment horizontal="left" vertical="center" wrapText="1" indent="1"/>
    </xf>
    <xf numFmtId="0" fontId="8" fillId="0" borderId="4" xfId="0" applyFont="1" applyBorder="1" applyAlignment="1" applyProtection="1">
      <alignment horizontal="left" vertical="center" wrapText="1" indent="1"/>
    </xf>
    <xf numFmtId="0" fontId="8" fillId="0" borderId="5" xfId="0" applyFont="1" applyBorder="1" applyAlignment="1" applyProtection="1">
      <alignment horizontal="left" vertical="center" wrapText="1" indent="1"/>
    </xf>
    <xf numFmtId="0" fontId="8" fillId="7" borderId="3"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14" fontId="7" fillId="0" borderId="17"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9" fillId="0" borderId="8" xfId="15" quotePrefix="1" applyFill="1" applyBorder="1" applyAlignment="1" applyProtection="1">
      <alignment horizontal="left" vertical="center" wrapText="1"/>
    </xf>
    <xf numFmtId="0" fontId="29" fillId="0" borderId="8" xfId="15" quotePrefix="1" applyFill="1" applyBorder="1" applyAlignment="1" applyProtection="1">
      <alignment horizontal="center" vertical="center" wrapText="1"/>
    </xf>
    <xf numFmtId="0" fontId="8" fillId="0" borderId="3" xfId="0" applyFont="1" applyBorder="1" applyAlignment="1" applyProtection="1">
      <alignment horizontal="left" vertical="center" wrapText="1" indent="1"/>
    </xf>
    <xf numFmtId="0" fontId="8" fillId="0" borderId="1" xfId="0" applyFont="1" applyBorder="1" applyAlignment="1" applyProtection="1">
      <alignment horizontal="left" vertical="center" wrapText="1" indent="2"/>
    </xf>
    <xf numFmtId="0" fontId="7" fillId="0" borderId="8" xfId="6" applyBorder="1" applyAlignment="1">
      <alignment horizontal="left" vertical="center" wrapText="1"/>
    </xf>
    <xf numFmtId="0" fontId="7" fillId="0" borderId="1" xfId="6" applyFont="1" applyBorder="1" applyAlignment="1">
      <alignment horizontal="left" vertical="center" wrapText="1" indent="1"/>
    </xf>
    <xf numFmtId="0" fontId="8" fillId="7" borderId="1" xfId="6"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0" fontId="8" fillId="7" borderId="31"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8" fillId="7" borderId="32" xfId="0" applyFont="1" applyFill="1" applyBorder="1" applyAlignment="1" applyProtection="1">
      <alignment horizontal="center" vertical="center" wrapText="1"/>
      <protection locked="0"/>
    </xf>
    <xf numFmtId="0" fontId="8" fillId="12" borderId="3" xfId="0" applyFont="1" applyFill="1" applyBorder="1" applyAlignment="1">
      <alignment horizontal="left" vertical="center" wrapText="1" indent="1"/>
    </xf>
    <xf numFmtId="0" fontId="8" fillId="12" borderId="5" xfId="0" applyFont="1" applyFill="1" applyBorder="1" applyAlignment="1">
      <alignment horizontal="left" vertical="center" wrapText="1" indent="1"/>
    </xf>
    <xf numFmtId="0" fontId="8" fillId="7" borderId="4" xfId="6"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8" fillId="7" borderId="6" xfId="6" applyFont="1" applyFill="1" applyBorder="1" applyAlignment="1" applyProtection="1">
      <alignment horizontal="center" vertical="center" wrapText="1"/>
      <protection locked="0"/>
    </xf>
    <xf numFmtId="0" fontId="8" fillId="7" borderId="2" xfId="6" applyFont="1" applyFill="1" applyBorder="1" applyAlignment="1" applyProtection="1">
      <alignment horizontal="center" vertical="center" wrapText="1"/>
      <protection locked="0"/>
    </xf>
    <xf numFmtId="0" fontId="7" fillId="0" borderId="3" xfId="6" applyFont="1" applyBorder="1" applyAlignment="1">
      <alignment horizontal="left" vertical="center" wrapText="1"/>
    </xf>
    <xf numFmtId="0" fontId="7" fillId="0" borderId="4" xfId="6" applyFont="1" applyBorder="1" applyAlignment="1">
      <alignment horizontal="left" vertical="center" wrapText="1"/>
    </xf>
    <xf numFmtId="0" fontId="7" fillId="0" borderId="5" xfId="6" applyFont="1" applyBorder="1" applyAlignment="1">
      <alignment horizontal="left" vertical="center" wrapText="1"/>
    </xf>
    <xf numFmtId="0" fontId="7" fillId="0" borderId="3" xfId="6" applyFont="1" applyBorder="1" applyAlignment="1">
      <alignment vertical="center" wrapText="1"/>
    </xf>
    <xf numFmtId="0" fontId="7" fillId="0" borderId="4" xfId="6" applyFont="1" applyBorder="1" applyAlignment="1">
      <alignment vertical="center" wrapText="1"/>
    </xf>
    <xf numFmtId="0" fontId="7" fillId="0" borderId="5" xfId="6" applyFont="1" applyBorder="1" applyAlignment="1">
      <alignmen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6" applyFont="1" applyBorder="1" applyAlignment="1">
      <alignment horizontal="left" vertical="center" wrapText="1" indent="1"/>
    </xf>
    <xf numFmtId="0" fontId="7" fillId="0" borderId="4" xfId="6" applyFont="1" applyBorder="1" applyAlignment="1">
      <alignment horizontal="left" vertical="center" wrapText="1" indent="1"/>
    </xf>
    <xf numFmtId="0" fontId="7" fillId="0" borderId="5" xfId="6" applyFont="1" applyBorder="1" applyAlignment="1">
      <alignment horizontal="left" vertical="center" wrapText="1" indent="1"/>
    </xf>
    <xf numFmtId="0" fontId="7" fillId="0" borderId="1" xfId="6" applyFont="1" applyBorder="1" applyAlignment="1">
      <alignment horizontal="left" vertical="center" wrapText="1"/>
    </xf>
    <xf numFmtId="0" fontId="16" fillId="6" borderId="1" xfId="1" quotePrefix="1" applyNumberFormat="1" applyFont="1" applyFill="1" applyBorder="1" applyAlignment="1">
      <alignment horizontal="center" vertical="center" wrapText="1"/>
    </xf>
    <xf numFmtId="0" fontId="16" fillId="6" borderId="1" xfId="1" applyNumberFormat="1" applyFont="1" applyFill="1" applyBorder="1" applyAlignment="1">
      <alignment horizontal="center" vertical="center"/>
    </xf>
    <xf numFmtId="0" fontId="13" fillId="0" borderId="0" xfId="3" applyFill="1" applyAlignment="1" applyProtection="1">
      <alignment horizontal="left" vertical="center"/>
    </xf>
    <xf numFmtId="0" fontId="8" fillId="7" borderId="6" xfId="0" applyFont="1" applyFill="1" applyBorder="1" applyAlignment="1" applyProtection="1">
      <alignment vertical="center" wrapText="1"/>
      <protection locked="0"/>
    </xf>
    <xf numFmtId="0" fontId="8" fillId="7" borderId="34"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34"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24" fillId="6" borderId="3" xfId="1" applyNumberFormat="1" applyFont="1" applyFill="1" applyBorder="1" applyAlignment="1" applyProtection="1">
      <alignment horizontal="center" vertical="center" wrapText="1"/>
    </xf>
    <xf numFmtId="0" fontId="24" fillId="6" borderId="4" xfId="1" applyNumberFormat="1" applyFont="1" applyFill="1" applyBorder="1" applyAlignment="1" applyProtection="1">
      <alignment horizontal="center" vertical="center" wrapText="1"/>
    </xf>
    <xf numFmtId="0" fontId="24"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8" fillId="44" borderId="3" xfId="0" applyFont="1" applyFill="1" applyBorder="1" applyAlignment="1" applyProtection="1">
      <alignment horizontal="left" vertical="center" wrapText="1"/>
    </xf>
    <xf numFmtId="0" fontId="8" fillId="44" borderId="4" xfId="0" applyFont="1" applyFill="1" applyBorder="1" applyAlignment="1" applyProtection="1">
      <alignment horizontal="left" vertical="center" wrapText="1"/>
    </xf>
    <xf numFmtId="0" fontId="8" fillId="44" borderId="5" xfId="0" applyFont="1" applyFill="1" applyBorder="1" applyAlignment="1" applyProtection="1">
      <alignment horizontal="left" vertical="center" wrapText="1"/>
    </xf>
    <xf numFmtId="0" fontId="24" fillId="6" borderId="3" xfId="1" applyNumberFormat="1" applyFont="1" applyFill="1" applyBorder="1" applyAlignment="1" applyProtection="1">
      <alignment horizontal="left" vertical="center" wrapText="1"/>
    </xf>
    <xf numFmtId="0" fontId="24" fillId="6" borderId="4" xfId="1" applyNumberFormat="1" applyFont="1" applyFill="1" applyBorder="1" applyAlignment="1" applyProtection="1">
      <alignment horizontal="left" vertical="center" wrapText="1"/>
    </xf>
    <xf numFmtId="0" fontId="24" fillId="6" borderId="5" xfId="1" applyNumberFormat="1" applyFont="1" applyFill="1" applyBorder="1" applyAlignment="1" applyProtection="1">
      <alignment horizontal="left" vertical="center" wrapText="1"/>
    </xf>
    <xf numFmtId="0" fontId="24" fillId="44" borderId="3" xfId="1" applyNumberFormat="1" applyFont="1" applyFill="1" applyBorder="1" applyAlignment="1" applyProtection="1">
      <alignment horizontal="left" vertical="center" wrapText="1"/>
    </xf>
    <xf numFmtId="0" fontId="24" fillId="44" borderId="4" xfId="1" applyNumberFormat="1" applyFont="1" applyFill="1" applyBorder="1" applyAlignment="1" applyProtection="1">
      <alignment horizontal="left" vertical="center" wrapText="1"/>
    </xf>
    <xf numFmtId="0" fontId="24" fillId="44"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xf>
    <xf numFmtId="0" fontId="7" fillId="0" borderId="0" xfId="0" quotePrefix="1" applyFont="1" applyAlignment="1" applyProtection="1">
      <alignment horizontal="left" vertical="top" wrapText="1"/>
    </xf>
    <xf numFmtId="0" fontId="7" fillId="44" borderId="0" xfId="0" quotePrefix="1" applyFont="1" applyFill="1" applyAlignment="1" applyProtection="1">
      <alignment horizontal="left"/>
    </xf>
    <xf numFmtId="0" fontId="7" fillId="44" borderId="0" xfId="0" quotePrefix="1" applyFont="1" applyFill="1" applyAlignment="1" applyProtection="1">
      <alignment horizontal="left" vertical="top" wrapText="1"/>
    </xf>
  </cellXfs>
  <cellStyles count="30">
    <cellStyle name="40% - Accent1" xfId="9" builtinId="31"/>
    <cellStyle name="40% - Accent1 2" xfId="25" xr:uid="{2AAF9300-18DC-4A32-A4E2-912F5B04D87C}"/>
    <cellStyle name="40% - Accent1 3" xfId="22" xr:uid="{B14515F9-B2A1-4A87-9EAE-5153B8111E90}"/>
    <cellStyle name="40% - Accent4" xfId="12" builtinId="43"/>
    <cellStyle name="40% - Accent4 2" xfId="26" xr:uid="{8FF4D194-A1C1-4C3C-927C-490220EE0E93}"/>
    <cellStyle name="40% - Accent4 3" xfId="23" xr:uid="{3483CC47-BC61-48A3-9535-42D62624F400}"/>
    <cellStyle name="60% - Accent2" xfId="10" builtinId="36"/>
    <cellStyle name="Accent1" xfId="8" builtinId="29"/>
    <cellStyle name="Accent4" xfId="11" builtinId="41"/>
    <cellStyle name="Accent6" xfId="13" builtinId="49"/>
    <cellStyle name="Comma" xfId="19" builtinId="3"/>
    <cellStyle name="Comma 2" xfId="7" xr:uid="{00000000-0005-0000-0000-000007000000}"/>
    <cellStyle name="Comma 2 2" xfId="21" xr:uid="{AD76A2C4-DCD1-4E5F-882D-562D9CEA47B4}"/>
    <cellStyle name="Comma 3" xfId="29" xr:uid="{8716D160-006F-4F3E-A729-996216FBCBEC}"/>
    <cellStyle name="Heading 2" xfId="4" builtinId="17"/>
    <cellStyle name="Heading 3" xfId="5" builtinId="18"/>
    <cellStyle name="Heading 4" xfId="1" builtinId="19"/>
    <cellStyle name="Hyperlink" xfId="3" builtinId="8"/>
    <cellStyle name="Input" xfId="2" builtinId="20"/>
    <cellStyle name="LinkedTo_CEPATNEI" xfId="28" xr:uid="{DC66674D-7745-47F4-8F6F-A76A09B640A1}"/>
    <cellStyle name="Neutral" xfId="15" builtinId="28"/>
    <cellStyle name="Normal" xfId="0" builtinId="0"/>
    <cellStyle name="Normal 2" xfId="6" xr:uid="{00000000-0005-0000-0000-00000F000000}"/>
    <cellStyle name="Normal 3" xfId="14" xr:uid="{00000000-0005-0000-0000-000010000000}"/>
    <cellStyle name="Normal 3 2" xfId="24" xr:uid="{6D9617D9-D7D5-4645-A952-3608FF2C6AD9}"/>
    <cellStyle name="Normal 4" xfId="16" xr:uid="{00000000-0005-0000-0000-000011000000}"/>
    <cellStyle name="Normal 5" xfId="18" xr:uid="{00000000-0005-0000-0000-000012000000}"/>
    <cellStyle name="Normal_Sheet1" xfId="20" xr:uid="{B0D2042C-8EAA-4F70-B471-1A91180DCFF9}"/>
    <cellStyle name="Percent 2" xfId="17" xr:uid="{00000000-0005-0000-0000-000014000000}"/>
    <cellStyle name="Text_CEPATNEI" xfId="27" xr:uid="{92541C65-301B-435A-BCD0-1F812A97F34D}"/>
  </cellStyles>
  <dxfs count="9">
    <dxf>
      <font>
        <color theme="0" tint="-0.14996795556505021"/>
      </font>
      <fill>
        <patternFill patternType="solid">
          <bgColor rgb="FFFFCC99"/>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BFBFBF"/>
      <color rgb="FFFFBE82"/>
      <color rgb="FFFFCC99"/>
      <color rgb="FFB4FFCC"/>
      <color rgb="FFB8D2BB"/>
      <color rgb="FF91FFCC"/>
      <color rgb="FF8CFFCC"/>
      <color rgb="FFCCFFCC"/>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20of%20System\Price%20Reviews\2023-04-01\Live%20Environment\EPN_E_r1_1121_2023_04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el map"/>
      <sheetName val="Named ranges"/>
      <sheetName val="Index"/>
      <sheetName val="Fixed inputs"/>
      <sheetName val="General inputs"/>
      <sheetName val="LRIC inputs"/>
      <sheetName val="FCP inputs"/>
      <sheetName val="Tariff inputs"/>
      <sheetName val="Tariff inputs transposed"/>
      <sheetName val="LDNO inputs"/>
      <sheetName val="Capacities"/>
      <sheetName val="Asset values"/>
      <sheetName val="Charge 1 (LRIC)"/>
      <sheetName val="Charge 1 (FCP)"/>
      <sheetName val="Transmission"/>
      <sheetName val="Export super-red"/>
      <sheetName val="Export capacity"/>
      <sheetName val="Import capacity"/>
      <sheetName val="Import super-red"/>
      <sheetName val="Residual bands"/>
      <sheetName val="Residual charge"/>
      <sheetName val="Fixed"/>
      <sheetName val="Import exceeded"/>
      <sheetName val="Export exceeded"/>
      <sheetName val="LDNO Calculations"/>
      <sheetName val="Revenue"/>
      <sheetName val="EHV tariffs"/>
      <sheetName val="EHV tariffs transposed"/>
      <sheetName val="LDNO tariffs"/>
      <sheetName val="LDNO tariffs transposed"/>
      <sheetName val="Revenue summary"/>
      <sheetName val="Revenue summary transposed"/>
      <sheetName val="Outputs to other models"/>
    </sheetNames>
    <sheetDataSet>
      <sheetData sheetId="0"/>
      <sheetData sheetId="1"/>
      <sheetData sheetId="2"/>
      <sheetData sheetId="3"/>
      <sheetData sheetId="4"/>
      <sheetData sheetId="5"/>
      <sheetData sheetId="6">
        <row r="25">
          <cell r="H25">
            <v>366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68"/>
  <sheetViews>
    <sheetView tabSelected="1" workbookViewId="0"/>
  </sheetViews>
  <sheetFormatPr defaultRowHeight="12.45" x14ac:dyDescent="0.3"/>
  <cols>
    <col min="1" max="1" width="70.3046875" customWidth="1"/>
    <col min="2" max="2" width="53.69140625" customWidth="1"/>
    <col min="3" max="3" width="28" customWidth="1"/>
    <col min="4" max="4" width="18.15234375" customWidth="1"/>
    <col min="5" max="5" width="21.53515625" customWidth="1"/>
  </cols>
  <sheetData>
    <row r="1" spans="1:5" ht="24.9" x14ac:dyDescent="0.55000000000000004">
      <c r="A1" s="467" t="s">
        <v>1296</v>
      </c>
      <c r="B1" s="15"/>
      <c r="C1" s="15"/>
      <c r="D1" s="15"/>
      <c r="E1" s="15"/>
    </row>
    <row r="2" spans="1:5" ht="16.3" x14ac:dyDescent="0.3">
      <c r="A2" s="84" t="s">
        <v>409</v>
      </c>
      <c r="B2" s="33"/>
      <c r="C2" s="33"/>
      <c r="D2" s="33"/>
      <c r="E2" s="33"/>
    </row>
    <row r="3" spans="1:5" ht="14.15" x14ac:dyDescent="0.3">
      <c r="A3" s="37"/>
      <c r="B3" s="80" t="s">
        <v>410</v>
      </c>
      <c r="C3" s="306" t="s">
        <v>454</v>
      </c>
      <c r="D3" s="306" t="s">
        <v>22</v>
      </c>
      <c r="E3" s="306" t="s">
        <v>21</v>
      </c>
    </row>
    <row r="4" spans="1:5" ht="14.15" x14ac:dyDescent="0.3">
      <c r="A4" s="34" t="s">
        <v>409</v>
      </c>
      <c r="B4" s="19" t="s">
        <v>619</v>
      </c>
      <c r="C4" s="19" t="s">
        <v>1280</v>
      </c>
      <c r="D4" s="19" t="s">
        <v>1281</v>
      </c>
      <c r="E4" s="19" t="s">
        <v>408</v>
      </c>
    </row>
    <row r="5" spans="1:5" x14ac:dyDescent="0.3">
      <c r="A5" s="33"/>
      <c r="B5" s="33"/>
      <c r="C5" s="33"/>
      <c r="D5" s="33"/>
      <c r="E5" s="33"/>
    </row>
    <row r="6" spans="1:5" ht="16.3" x14ac:dyDescent="0.3">
      <c r="A6" s="36" t="s">
        <v>16</v>
      </c>
      <c r="B6" s="33"/>
      <c r="C6" s="33"/>
      <c r="D6" s="33"/>
      <c r="E6" s="33"/>
    </row>
    <row r="7" spans="1:5" ht="14.15" x14ac:dyDescent="0.3">
      <c r="A7" s="38" t="s">
        <v>17</v>
      </c>
      <c r="B7" s="536" t="s">
        <v>18</v>
      </c>
      <c r="C7" s="536"/>
      <c r="D7" s="536"/>
      <c r="E7" s="536"/>
    </row>
    <row r="8" spans="1:5" s="327" customFormat="1" ht="30" customHeight="1" x14ac:dyDescent="0.35">
      <c r="A8" s="329" t="s">
        <v>288</v>
      </c>
      <c r="B8" s="535" t="s">
        <v>491</v>
      </c>
      <c r="C8" s="535"/>
      <c r="D8" s="535"/>
      <c r="E8" s="535"/>
    </row>
    <row r="9" spans="1:5" s="327" customFormat="1" ht="14.15" x14ac:dyDescent="0.3">
      <c r="A9" s="323" t="s">
        <v>497</v>
      </c>
      <c r="B9" s="324" t="str">
        <f>"Charges in "&amp;RIGHT('Annex 1 LV and HV charges_A'!$A$2,LEN('Annex 1 LV and HV charges_A'!$A$2)-(FIND("charges",TEXT('Annex 1 LV and HV charges_A'!$A$2,0))+LEN("charges in ")-1))</f>
        <v>Charges in UKPN EPN Area (GSP Group _A)</v>
      </c>
      <c r="C9" s="326"/>
      <c r="D9" s="326"/>
      <c r="E9" s="326"/>
    </row>
    <row r="10" spans="1:5" s="327" customFormat="1" ht="14.15" x14ac:dyDescent="0.3">
      <c r="A10" s="323" t="s">
        <v>498</v>
      </c>
      <c r="B10" s="324" t="str">
        <f>"Charges in "&amp;RIGHT('Annex 1 LV and HV charges_B'!$A$2,LEN('Annex 1 LV and HV charges_B'!$A$2)-(FIND("charges",TEXT('Annex 1 LV and HV charges_B'!$A$2,0))+LEN("charges in ")-1))</f>
        <v>Charges in WPD EM Area (GSP Group _B)</v>
      </c>
      <c r="C10" s="326"/>
      <c r="D10" s="326"/>
      <c r="E10" s="326"/>
    </row>
    <row r="11" spans="1:5" s="327" customFormat="1" ht="14.15" x14ac:dyDescent="0.3">
      <c r="A11" s="323" t="s">
        <v>499</v>
      </c>
      <c r="B11" s="324" t="str">
        <f>"Charges in "&amp;RIGHT('Annex 1 LV and HV charges_C'!$A$2,LEN('Annex 1 LV and HV charges_C'!$A$2)-(FIND("charges",TEXT('Annex 1 LV and HV charges_C'!$A$2,0))+LEN("charges in ")-1))</f>
        <v>Charges in UKPN LPN Area (GSP Group _C)</v>
      </c>
      <c r="C11" s="326"/>
      <c r="D11" s="326"/>
      <c r="E11" s="326"/>
    </row>
    <row r="12" spans="1:5" s="327" customFormat="1" ht="14.15" x14ac:dyDescent="0.3">
      <c r="A12" s="323" t="s">
        <v>500</v>
      </c>
      <c r="B12" s="324" t="str">
        <f>"Charges in "&amp;RIGHT('Annex 1 LV and HV charges_D'!$A$2,LEN('Annex 1 LV and HV charges_D'!$A$2)-(FIND("charges",TEXT('Annex 1 LV and HV charges_D'!$A$2,0))+LEN("charges in ")-1))</f>
        <v>Charges in SP Manweb Area (GSP Group _D)</v>
      </c>
      <c r="C12" s="326"/>
      <c r="D12" s="326"/>
      <c r="E12" s="326"/>
    </row>
    <row r="13" spans="1:5" s="327" customFormat="1" ht="14.15" x14ac:dyDescent="0.3">
      <c r="A13" s="323" t="s">
        <v>501</v>
      </c>
      <c r="B13" s="324" t="str">
        <f>"Charges in "&amp;RIGHT('Annex 1 LV and HV charges_E'!$A$2,LEN('Annex 1 LV and HV charges_E'!$A$2)-(FIND("charges",TEXT('Annex 1 LV and HV charges_E'!$A$2,0))+LEN("charges in ")-1))</f>
        <v>Charges in 'Annex 4 LDNO charges  (GSP Group_E)</v>
      </c>
      <c r="C13" s="326"/>
      <c r="D13" s="326"/>
      <c r="E13" s="326"/>
    </row>
    <row r="14" spans="1:5" s="327" customFormat="1" ht="14.15" x14ac:dyDescent="0.3">
      <c r="A14" s="323" t="s">
        <v>502</v>
      </c>
      <c r="B14" s="324" t="str">
        <f>"Charges in "&amp;RIGHT('Annex 1 LV and HV charges_F'!$A$2,LEN('Annex 1 LV and HV charges_F'!$A$2)-(FIND("charges",TEXT('Annex 1 LV and HV charges_F'!$A$2,0))+LEN("charges in ")-1))</f>
        <v>Charges in NPG Northeast Area (GSP Group _F)</v>
      </c>
      <c r="C14" s="326"/>
      <c r="D14" s="326"/>
      <c r="E14" s="326"/>
    </row>
    <row r="15" spans="1:5" s="327" customFormat="1" ht="14.15" x14ac:dyDescent="0.3">
      <c r="A15" s="388" t="s">
        <v>503</v>
      </c>
      <c r="B15" s="389" t="str">
        <f>"Charges in "&amp;RIGHT('Annex 1 LV and HV charges_G'!$A$2,LEN('Annex 1 LV and HV charges_G'!$A$2)-(FIND("charges",TEXT('Annex 1 LV and HV charges_G'!$A$2,0))+LEN("charges in ")-1))</f>
        <v>Charges in Electricity North West Area (GSP Group _G)</v>
      </c>
      <c r="C15" s="390"/>
      <c r="D15" s="326"/>
      <c r="E15" s="326"/>
    </row>
    <row r="16" spans="1:5" s="327" customFormat="1" ht="14.15" x14ac:dyDescent="0.3">
      <c r="A16" s="323" t="s">
        <v>504</v>
      </c>
      <c r="B16" s="324" t="str">
        <f>"Charges in "&amp;RIGHT('Annex 1 LV and HV charges_H'!$A$2,LEN('Annex 1 LV and HV charges_H'!$A$2)-(FIND("charges",TEXT('Annex 1 LV and HV charges_H'!$A$2,0))+LEN("charges in ")-1))</f>
        <v>Charges in SSE SEPD Area (GSP Group _H)</v>
      </c>
      <c r="C16" s="326"/>
      <c r="D16" s="326"/>
      <c r="E16" s="326"/>
    </row>
    <row r="17" spans="1:8" s="327" customFormat="1" ht="14.15" x14ac:dyDescent="0.3">
      <c r="A17" s="323" t="s">
        <v>505</v>
      </c>
      <c r="B17" s="324" t="str">
        <f>"Charges in "&amp;RIGHT('Annex 1 LV and HV charges_J'!$A$2,LEN('Annex 1 LV and HV charges_J'!$A$2)-(FIND("charges",TEXT('Annex 1 LV and HV charges_J'!$A$2,0))+LEN("charges in ")-1))</f>
        <v>Charges in UKPN SPN Area (GSP Group _J)</v>
      </c>
      <c r="C17" s="326"/>
      <c r="D17" s="326"/>
      <c r="E17" s="326"/>
    </row>
    <row r="18" spans="1:8" s="327" customFormat="1" ht="14.15" x14ac:dyDescent="0.3">
      <c r="A18" s="323" t="s">
        <v>506</v>
      </c>
      <c r="B18" s="324" t="str">
        <f>"Charges in "&amp;RIGHT('Annex 1 LV and HV charges_K'!$A$2,LEN('Annex 1 LV and HV charges_K'!$A$2)-(FIND("charges",TEXT('Annex 1 LV and HV charges_K'!$A$2,0))+LEN("charges in ")-1))</f>
        <v>Charges in WPD South Wales Area (GSP Group _K)</v>
      </c>
      <c r="C18" s="326"/>
      <c r="D18" s="326"/>
      <c r="E18" s="326"/>
    </row>
    <row r="19" spans="1:8" s="327" customFormat="1" ht="14.15" x14ac:dyDescent="0.3">
      <c r="A19" s="323" t="s">
        <v>507</v>
      </c>
      <c r="B19" s="324" t="str">
        <f>"Charges in "&amp;RIGHT('Annex 1 LV and HV charges_L'!$A$2,LEN('Annex 1 LV and HV charges_L'!$A$2)-(FIND("charges",TEXT('Annex 1 LV and HV charges_L'!$A$2,0))+LEN("charges in ")-1))</f>
        <v>Charges in WPD South West Area (GSP Group _L)</v>
      </c>
      <c r="C19" s="326"/>
      <c r="D19" s="326"/>
      <c r="E19" s="326"/>
    </row>
    <row r="20" spans="1:8" s="327" customFormat="1" ht="14.15" x14ac:dyDescent="0.3">
      <c r="A20" s="323" t="s">
        <v>508</v>
      </c>
      <c r="B20" s="324" t="str">
        <f>"Charges in "&amp;RIGHT('Annex 1 LV and HV charges_M'!$A$2,LEN('Annex 1 LV and HV charges_M'!$A$2)-(FIND("charges",TEXT('Annex 1 LV and HV charges_M'!$A$2,0))+LEN("charges in ")-1))</f>
        <v>Charges in NPG Yorkshire Area (GSP Group _M)</v>
      </c>
      <c r="C20" s="326"/>
      <c r="D20" s="326"/>
      <c r="E20" s="326"/>
    </row>
    <row r="21" spans="1:8" s="327" customFormat="1" ht="14.15" x14ac:dyDescent="0.3">
      <c r="A21" s="323" t="s">
        <v>509</v>
      </c>
      <c r="B21" s="324" t="str">
        <f>"Charges in "&amp;RIGHT('Annex 1 LV and HV charges_N'!$A$2,LEN('Annex 1 LV and HV charges_N'!$A$2)-(FIND("charges",TEXT('Annex 1 LV and HV charges_N'!$A$2,0))+LEN("charges in ")-1))</f>
        <v>Charges in SP Distribution Area (GSP Group _N)</v>
      </c>
      <c r="C21" s="326"/>
      <c r="D21" s="326"/>
      <c r="E21" s="326"/>
    </row>
    <row r="22" spans="1:8" s="327" customFormat="1" ht="14.15" x14ac:dyDescent="0.3">
      <c r="A22" s="323" t="s">
        <v>510</v>
      </c>
      <c r="B22" s="324" t="str">
        <f>"Charges in "&amp;RIGHT('Annex 1 LV and HV charges_P'!$A$2,LEN('Annex 1 LV and HV charges_P'!$A$2)-(FIND("charges",TEXT('Annex 1 LV and HV charges_P'!$A$2,0))+LEN("charges in ")-1))</f>
        <v>Charges in SSE SHEPD Area (GSP Group_P)</v>
      </c>
      <c r="C22" s="326"/>
      <c r="D22" s="326"/>
      <c r="E22" s="326"/>
    </row>
    <row r="23" spans="1:8" s="327" customFormat="1" ht="30" customHeight="1" x14ac:dyDescent="0.3">
      <c r="A23" s="328" t="s">
        <v>289</v>
      </c>
      <c r="B23" s="527"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Indigo Power Limited Licence area.</v>
      </c>
      <c r="C23" s="527"/>
      <c r="D23" s="527"/>
      <c r="E23" s="527"/>
    </row>
    <row r="24" spans="1:8" s="327" customFormat="1" ht="30" customHeight="1" x14ac:dyDescent="0.3">
      <c r="A24" s="328" t="s">
        <v>290</v>
      </c>
      <c r="B24" s="527" t="s">
        <v>20</v>
      </c>
      <c r="C24" s="527"/>
      <c r="D24" s="527"/>
      <c r="E24" s="527"/>
    </row>
    <row r="25" spans="1:8" s="327" customFormat="1" ht="72.75" customHeight="1" x14ac:dyDescent="0.35">
      <c r="A25" s="329" t="s">
        <v>291</v>
      </c>
      <c r="B25" s="535" t="str">
        <f>"Annex 4 contains charges that are levied on Indigo Power within the GSP Licence area. The charges listed in this table are not payable by domestic consumers, business consumers or electricity suppliers."</f>
        <v>Annex 4 contains charges that are levied on Indigo Power within the GSP Licence area. The charges listed in this table are not payable by domestic consumers, business consumers or electricity suppliers.</v>
      </c>
      <c r="C25" s="535"/>
      <c r="D25" s="535"/>
      <c r="E25" s="535"/>
      <c r="F25" s="526"/>
      <c r="G25" s="526"/>
      <c r="H25" s="526"/>
    </row>
    <row r="26" spans="1:8" s="327" customFormat="1" ht="14.15" x14ac:dyDescent="0.3">
      <c r="A26" s="323" t="s">
        <v>511</v>
      </c>
      <c r="B26" s="324" t="str">
        <f>"Tariffs in "&amp;RIGHT('Annex 4 LDNO charges_A'!$A$2,LEN('Annex 4 LDNO charges_A'!$A$2)-(FIND("tariffs",TEXT('Annex 4 LDNO charges_A'!$A$2,0))+LEN("tariffs in ")-1))</f>
        <v>Tariffs in UKPN EPN Area (GSP Group_A)</v>
      </c>
      <c r="C26" s="326"/>
      <c r="D26" s="326"/>
      <c r="E26" s="326"/>
    </row>
    <row r="27" spans="1:8" s="327" customFormat="1" ht="14.15" x14ac:dyDescent="0.3">
      <c r="A27" s="325" t="s">
        <v>512</v>
      </c>
      <c r="B27" s="324" t="str">
        <f>"Tariffs in "&amp;RIGHT('Annex 4 LDNO charges_B'!$A$2,LEN('Annex 4 LDNO charges_B'!$A$2)-(FIND("tariffs",TEXT('Annex 4 LDNO charges_B'!$A$2,0))+LEN("tariffs in ")-1))</f>
        <v>Tariffs in WPD EM Area (GSP Group_B)</v>
      </c>
      <c r="C27" s="326"/>
      <c r="D27" s="326"/>
      <c r="E27" s="326"/>
    </row>
    <row r="28" spans="1:8" s="327" customFormat="1" ht="14.15" x14ac:dyDescent="0.3">
      <c r="A28" s="325" t="s">
        <v>513</v>
      </c>
      <c r="B28" s="324" t="str">
        <f>"Tariffs in "&amp;RIGHT('Annex 4 LDNO charges_C'!$A$2,LEN('Annex 4 LDNO charges_C'!$A$2)-(FIND("tariffs",TEXT('Annex 4 LDNO charges_C'!$A$2,0))+LEN("tariffs in ")-1))</f>
        <v>Tariffs in UKPN LPN Area (GSP Group_C)</v>
      </c>
      <c r="C28" s="326"/>
      <c r="D28" s="326"/>
      <c r="E28" s="326"/>
    </row>
    <row r="29" spans="1:8" s="327" customFormat="1" ht="14.15" x14ac:dyDescent="0.3">
      <c r="A29" s="325" t="s">
        <v>514</v>
      </c>
      <c r="B29" s="324" t="str">
        <f>"Tariffs in "&amp;RIGHT('Annex 4 LDNO charges_D'!$A$2,LEN('Annex 4 LDNO charges_D'!$A$2)-(FIND("tariffs",TEXT('Annex 4 LDNO charges_D'!$A$2,0))+LEN("tariffs in ")-1))</f>
        <v>Tariffs in SP Manweb Area (GSP Group_D)</v>
      </c>
      <c r="C29" s="326"/>
      <c r="D29" s="326"/>
      <c r="E29" s="326"/>
    </row>
    <row r="30" spans="1:8" s="327" customFormat="1" ht="14.15" x14ac:dyDescent="0.3">
      <c r="A30" s="325" t="s">
        <v>515</v>
      </c>
      <c r="B30" s="324" t="e">
        <f>"Tariffs in "&amp;RIGHT(#REF!,LEN(#REF!)-(FIND("tariffs",TEXT(#REF!,0))+LEN("tariffs in ")-1))</f>
        <v>#REF!</v>
      </c>
      <c r="C30" s="326"/>
      <c r="D30" s="326"/>
      <c r="E30" s="326"/>
    </row>
    <row r="31" spans="1:8" s="327" customFormat="1" ht="14.15" x14ac:dyDescent="0.3">
      <c r="A31" s="325" t="s">
        <v>516</v>
      </c>
      <c r="B31" s="324" t="str">
        <f>"Tariffs in "&amp;RIGHT('Annex 4 LDNO charges_F'!$A$2,LEN('Annex 4 LDNO charges_F'!$A$2)-(FIND("tariffs",TEXT('Annex 4 LDNO charges_F'!$A$2,0))+LEN("tariffs in ")-1))</f>
        <v>Tariffs in NPG Northeast Area (GSP Group_F)</v>
      </c>
      <c r="C31" s="326"/>
      <c r="D31" s="326"/>
      <c r="E31" s="326"/>
    </row>
    <row r="32" spans="1:8" s="327" customFormat="1" ht="14.15" x14ac:dyDescent="0.3">
      <c r="A32" s="325" t="s">
        <v>517</v>
      </c>
      <c r="B32" s="324" t="str">
        <f>"Tariffs in "&amp;RIGHT('Annex 4 LDNO charges_G'!$A$2,LEN('Annex 4 LDNO charges_G'!$A$2)-(FIND("tariffs",TEXT('Annex 4 LDNO charges_G'!$A$2,0))+LEN("tariffs in ")-1))</f>
        <v>Tariffs in Electricity North West Area (GSP Group_G)</v>
      </c>
      <c r="C32" s="326"/>
      <c r="D32" s="326"/>
      <c r="E32" s="326"/>
    </row>
    <row r="33" spans="1:5" s="327" customFormat="1" ht="14.15" x14ac:dyDescent="0.3">
      <c r="A33" s="325" t="s">
        <v>518</v>
      </c>
      <c r="B33" s="324" t="str">
        <f>"Tariffs in "&amp;RIGHT('Annex 4 LDNO charges_H'!$A$2,LEN('Annex 4 LDNO charges_H'!$A$2)-(FIND("tariffs",TEXT('Annex 4 LDNO charges_H'!$A$2,0))+LEN("tariffs in ")-1))</f>
        <v>Tariffs in SSE SEPD Area (GSP Group_H)</v>
      </c>
      <c r="C33" s="326"/>
      <c r="D33" s="326"/>
      <c r="E33" s="326"/>
    </row>
    <row r="34" spans="1:5" s="327" customFormat="1" ht="14.15" x14ac:dyDescent="0.3">
      <c r="A34" s="325" t="s">
        <v>519</v>
      </c>
      <c r="B34" s="324" t="str">
        <f>"Tariffs in "&amp;RIGHT('Annex 4 LDNO charges_J'!$A$2,LEN('Annex 4 LDNO charges_J'!$A$2)-(FIND("tariffs",TEXT('Annex 4 LDNO charges_J'!$A$2,0))+LEN("tariffs in ")-1))</f>
        <v>Tariffs in UKPN SPN Area (GSP Group_J)</v>
      </c>
      <c r="C34" s="326"/>
      <c r="D34" s="326"/>
      <c r="E34" s="326"/>
    </row>
    <row r="35" spans="1:5" s="327" customFormat="1" ht="14.15" x14ac:dyDescent="0.3">
      <c r="A35" s="325" t="s">
        <v>520</v>
      </c>
      <c r="B35" s="324" t="str">
        <f>"Tariffs in "&amp;RIGHT('Annex 4 LDNO charges_K'!$A$2,LEN('Annex 4 LDNO charges_K'!$A$2)-(FIND("tariffs",TEXT('Annex 4 LDNO charges_K'!$A$2,0))+LEN("tariffs in ")-1))</f>
        <v>Tariffs in WPD South Wales Area (GSP Group_K)</v>
      </c>
      <c r="C35" s="326"/>
      <c r="D35" s="326"/>
      <c r="E35" s="326"/>
    </row>
    <row r="36" spans="1:5" s="327" customFormat="1" ht="14.15" x14ac:dyDescent="0.3">
      <c r="A36" s="325" t="s">
        <v>521</v>
      </c>
      <c r="B36" s="324" t="str">
        <f>"Tariffs in "&amp;RIGHT('Annex 4 LDNO charges_L'!$A$2,LEN('Annex 4 LDNO charges_L'!$A$2)-(FIND("tariffs",TEXT('Annex 4 LDNO charges_L'!$A$2,0))+LEN("tariffs in ")-1))</f>
        <v>Tariffs in WPD South West Area (GSP Group_L)</v>
      </c>
      <c r="C36" s="326"/>
      <c r="D36" s="326"/>
      <c r="E36" s="326"/>
    </row>
    <row r="37" spans="1:5" s="327" customFormat="1" ht="14.15" x14ac:dyDescent="0.3">
      <c r="A37" s="325" t="s">
        <v>522</v>
      </c>
      <c r="B37" s="324" t="str">
        <f>"Tariffs in "&amp;RIGHT('Annex 4 LDNO charges_M'!$A$2,LEN('Annex 4 LDNO charges_M'!$A$2)-(FIND("tariffs",TEXT('Annex 4 LDNO charges_M'!$A$2,0))+LEN("tariffs in ")-1))</f>
        <v>Tariffs in NPG Yorkshire Area (GSP Group_M)</v>
      </c>
      <c r="C37" s="326"/>
      <c r="D37" s="326"/>
      <c r="E37" s="326"/>
    </row>
    <row r="38" spans="1:5" s="327" customFormat="1" ht="14.15" x14ac:dyDescent="0.3">
      <c r="A38" s="325" t="s">
        <v>523</v>
      </c>
      <c r="B38" s="324" t="str">
        <f>"Tariffs in "&amp;RIGHT('Annex 4 LDNO charges_N'!$A$2,LEN('Annex 4 LDNO charges_N'!$A$2)-(FIND("tariffs",TEXT('Annex 4 LDNO charges_N'!$A$2,0))+LEN("tariffs in ")-1))</f>
        <v>Tariffs in SP Distribution Area (GSP Group _N)</v>
      </c>
      <c r="C38" s="326"/>
      <c r="D38" s="326"/>
      <c r="E38" s="326"/>
    </row>
    <row r="39" spans="1:5" s="327" customFormat="1" ht="14.15" x14ac:dyDescent="0.3">
      <c r="A39" s="325" t="s">
        <v>524</v>
      </c>
      <c r="B39" s="324" t="str">
        <f>"Tariffs in "&amp;RIGHT('Annex 4 LDNO charges_P'!$A$2,LEN('Annex 4 LDNO charges_P'!$A$2)-(FIND("tariffs",TEXT('Annex 4 LDNO charges_P'!$A$2,0))+LEN("tariffs in ")-1))</f>
        <v>Tariffs in SSE SHEPD Area (GSP Group_P)</v>
      </c>
      <c r="C39" s="326"/>
      <c r="D39" s="326"/>
      <c r="E39" s="326"/>
    </row>
    <row r="40" spans="1:5" s="327" customFormat="1" ht="86.25" customHeight="1" x14ac:dyDescent="0.35">
      <c r="A40" s="329" t="s">
        <v>28</v>
      </c>
      <c r="B40" s="531" t="s">
        <v>722</v>
      </c>
      <c r="C40" s="531"/>
      <c r="D40" s="531"/>
      <c r="E40" s="531"/>
    </row>
    <row r="41" spans="1:5" s="327" customFormat="1" ht="14.15" x14ac:dyDescent="0.3">
      <c r="A41" s="323" t="s">
        <v>525</v>
      </c>
      <c r="B41" s="324" t="str">
        <f>"LLFs in "&amp;RIGHT('Annex 5 LLFs_A'!$A$3,LEN('Annex 5 LLFs_A'!$A$3)-(FIND("LLFs",TEXT('Annex 5 LLFs_A'!$A$3,0))+LEN("LLFs in ")-1))</f>
        <v>LLFs in UKPN EPN Area (GSP Group_A) for year beginning 1 April 2023</v>
      </c>
      <c r="C41" s="326"/>
      <c r="D41" s="326"/>
      <c r="E41" s="326"/>
    </row>
    <row r="42" spans="1:5" s="327" customFormat="1" ht="14.15" x14ac:dyDescent="0.3">
      <c r="A42" s="323" t="s">
        <v>526</v>
      </c>
      <c r="B42" s="324" t="str">
        <f>"LLFs in "&amp;RIGHT('Annex 5 LLFs_B'!$A$3,LEN('Annex 5 LLFs_B'!$A$3)-(FIND("LLFs",TEXT('Annex 5 LLFs_B'!$A$3,0))+LEN("LLFs in ")-1))</f>
        <v>LLFs in WPD EM Area (GSP Group_B) for year beginning 1 April 2023</v>
      </c>
      <c r="C42" s="326"/>
      <c r="D42" s="326"/>
      <c r="E42" s="326"/>
    </row>
    <row r="43" spans="1:5" s="327" customFormat="1" ht="14.15" x14ac:dyDescent="0.3">
      <c r="A43" s="323" t="s">
        <v>527</v>
      </c>
      <c r="B43" s="324" t="str">
        <f>"LLFs in "&amp;RIGHT('Annex 5 LLFs_C'!$A$3,LEN('Annex 5 LLFs_C'!$A$3)-(FIND("LLFs",TEXT('Annex 5 LLFs_C'!$A$3,0))+LEN("LLFs in ")-1))</f>
        <v>LLFs in UKPN LPN Area (GSP Group_C) for year beginning 1 April 2023</v>
      </c>
      <c r="C43" s="326"/>
      <c r="D43" s="326"/>
      <c r="E43" s="326"/>
    </row>
    <row r="44" spans="1:5" s="327" customFormat="1" ht="14.15" x14ac:dyDescent="0.3">
      <c r="A44" s="323" t="s">
        <v>528</v>
      </c>
      <c r="B44" s="324" t="str">
        <f>"LLFs in "&amp;RIGHT('Annex 5 LLFs_D'!$A$3,LEN('Annex 5 LLFs_D'!$A$3)-(FIND("LLFs",TEXT('Annex 5 LLFs_D'!$A$3,0))+LEN("LLFs in ")-1))</f>
        <v>LLFs in SP Manweb Area (GSP Group_D) for year beginning 1 April 2023</v>
      </c>
      <c r="C44" s="326"/>
      <c r="D44" s="326"/>
      <c r="E44" s="326"/>
    </row>
    <row r="45" spans="1:5" s="327" customFormat="1" ht="14.15" x14ac:dyDescent="0.3">
      <c r="A45" s="323" t="s">
        <v>529</v>
      </c>
      <c r="B45" s="324" t="str">
        <f>"LLFs in "&amp;RIGHT('Annex 5 LLFs_E'!$A$3,LEN('Annex 5 LLFs_E'!$A$3)-(FIND("LLFs",TEXT('Annex 5 LLFs_E'!$A$3,0))+LEN("LLFs in ")-1))</f>
        <v>LLFs in WPD West Midlands Area (GSP Group_E) for year beginning 1 April 2023</v>
      </c>
      <c r="C45" s="326"/>
      <c r="D45" s="326"/>
      <c r="E45" s="326"/>
    </row>
    <row r="46" spans="1:5" s="327" customFormat="1" ht="14.15" x14ac:dyDescent="0.3">
      <c r="A46" s="323" t="s">
        <v>530</v>
      </c>
      <c r="B46" s="324" t="str">
        <f>"LLFs in "&amp;RIGHT('Annex 5 LLFs_F'!$A$3,LEN('Annex 5 LLFs_F'!$A$3)-(FIND("LLFs",TEXT('Annex 5 LLFs_F'!$A$3,0))+LEN("LLFs in ")-1))</f>
        <v>LLFs in NPG Northeast Area (GSP Group_F) for year beginning 1 April 2023</v>
      </c>
      <c r="C46" s="326"/>
      <c r="D46" s="326"/>
      <c r="E46" s="326"/>
    </row>
    <row r="47" spans="1:5" s="327" customFormat="1" ht="14.15" x14ac:dyDescent="0.3">
      <c r="A47" s="323" t="s">
        <v>531</v>
      </c>
      <c r="B47" s="324" t="str">
        <f>"LLFs in "&amp;RIGHT('Annex 5 LLFs_G'!$A$3,LEN('Annex 5 LLFs_G'!$A$3)-(FIND("LLFs",TEXT('Annex 5 LLFs_G'!$A$3,0))+LEN("LLFs in ")-1))</f>
        <v>LLFs in Electricity North West Area (GSP Group_G) for year beginning 1 April 2023</v>
      </c>
      <c r="C47" s="326"/>
      <c r="D47" s="326"/>
      <c r="E47" s="326"/>
    </row>
    <row r="48" spans="1:5" s="327" customFormat="1" ht="14.15" x14ac:dyDescent="0.3">
      <c r="A48" s="323" t="s">
        <v>532</v>
      </c>
      <c r="B48" s="324" t="str">
        <f>"LLFs in "&amp;RIGHT('Annex 5 LLFs_H'!$A$3,LEN('Annex 5 LLFs_H'!$A$3)-(FIND("LLFs",TEXT('Annex 5 LLFs_H'!$A$3,0))+LEN("LLFs in ")-1))</f>
        <v>LLFs in SSE SEPD Area (GSP Group_H) for year beginning 1 April 2023</v>
      </c>
      <c r="C48" s="326"/>
      <c r="D48" s="326"/>
      <c r="E48" s="326"/>
    </row>
    <row r="49" spans="1:6" s="327" customFormat="1" ht="14.15" x14ac:dyDescent="0.3">
      <c r="A49" s="323" t="s">
        <v>533</v>
      </c>
      <c r="B49" s="324" t="str">
        <f>"LLFs in "&amp;RIGHT('Annex 5 LLFs_J'!$A$3,LEN('Annex 5 LLFs_J'!$A$3)-(FIND("LLFs",TEXT('Annex 5 LLFs_J'!$A$3,0))+LEN("LLFs in ")-1))</f>
        <v>LLFs in UKPN SPN Area (GSP Group_J) for year beginning 1 April 2023</v>
      </c>
      <c r="C49" s="326"/>
      <c r="D49" s="326"/>
      <c r="E49" s="326"/>
    </row>
    <row r="50" spans="1:6" s="327" customFormat="1" ht="14.15" x14ac:dyDescent="0.3">
      <c r="A50" s="323" t="s">
        <v>534</v>
      </c>
      <c r="B50" s="324" t="str">
        <f>"LLFs in "&amp;RIGHT('Annex 5 LLFs_K'!$A$3,LEN('Annex 5 LLFs_K'!$A$3)-(FIND("LLFs",TEXT('Annex 5 LLFs_K'!$A$3,0))+LEN("LLFs in ")-1))</f>
        <v>LLFs in WPD South Wales Area (GSP Group_K) for year beginning 1 April 2023</v>
      </c>
      <c r="C50" s="326"/>
      <c r="D50" s="326"/>
      <c r="E50" s="326"/>
    </row>
    <row r="51" spans="1:6" s="327" customFormat="1" ht="14.15" x14ac:dyDescent="0.3">
      <c r="A51" s="323" t="s">
        <v>535</v>
      </c>
      <c r="B51" s="324" t="str">
        <f>"LLFs in "&amp;RIGHT('Annex 5 LLFs_L'!$A$3,LEN('Annex 5 LLFs_L'!$A$3)-(FIND("LLFs",TEXT('Annex 5 LLFs_L'!$A$3,0))+LEN("LLFs in ")-1))</f>
        <v>LLFs in WPD South West Area (GSP Group_L) for year beginning 1 April 2023</v>
      </c>
      <c r="C51" s="326"/>
      <c r="D51" s="326"/>
      <c r="E51" s="326"/>
    </row>
    <row r="52" spans="1:6" s="327" customFormat="1" ht="14.15" x14ac:dyDescent="0.3">
      <c r="A52" s="323" t="s">
        <v>536</v>
      </c>
      <c r="B52" s="324" t="str">
        <f>"LLFs in "&amp;RIGHT('Annex 5 LLFs_M'!$A$3,LEN('Annex 5 LLFs_M'!$A$3)-(FIND("LLFs",TEXT('Annex 5 LLFs_M'!$A$3,0))+LEN("LLFs in ")-1))</f>
        <v>LLFs in NPG Yorkshire Area (GSP Group_M) for year beginning 1 April 2023</v>
      </c>
      <c r="C52" s="326"/>
      <c r="D52" s="326"/>
      <c r="E52" s="326"/>
    </row>
    <row r="53" spans="1:6" s="327" customFormat="1" ht="14.15" x14ac:dyDescent="0.3">
      <c r="A53" s="325" t="s">
        <v>537</v>
      </c>
      <c r="B53" s="324" t="str">
        <f>"LLFs in "&amp;RIGHT('Annex 5 LLFs_N'!$A$3,LEN('Annex 5 LLFs_N'!$A$3)-(FIND("LLFs",TEXT('Annex 5 LLFs_N'!$A$3,0))+LEN("LLFs in ")-1))</f>
        <v>LLFs in SP Distribution Area (GSP Group _N) for year beginning 1 April 2023</v>
      </c>
      <c r="C53" s="326"/>
      <c r="D53" s="326"/>
      <c r="E53" s="326"/>
    </row>
    <row r="54" spans="1:6" s="327" customFormat="1" ht="14.15" x14ac:dyDescent="0.3">
      <c r="A54" s="325" t="s">
        <v>538</v>
      </c>
      <c r="B54" s="324" t="str">
        <f>"LLFs in "&amp;RIGHT('Annex 5 LLFs_P'!$A$3,LEN('Annex 5 LLFs_P'!$A$3)-(FIND("LLFs",TEXT('Annex 5 LLFs_P'!$A$3,0))+LEN("LLFs in ")-1))</f>
        <v>LLFs in SSE SHEPD Area (GSP Group_P) for year beginning 1 April 2023</v>
      </c>
      <c r="C54" s="326"/>
      <c r="D54" s="326"/>
      <c r="E54" s="326"/>
    </row>
    <row r="55" spans="1:6" s="327" customFormat="1" ht="42.75" customHeight="1" x14ac:dyDescent="0.3">
      <c r="A55" s="328" t="s">
        <v>494</v>
      </c>
      <c r="B55" s="527" t="str">
        <f>"Annex 6 contains the charges for new or amended EHV Properties and charges applied to Indigo Power with new or amended EHV Properties/end-users embedded in networks within the GSP Licence area."</f>
        <v>Annex 6 contains the charges for new or amended EHV Properties and charges applied to Indigo Power with new or amended EHV Properties/end-users embedded in networks within the GSP Licence area.</v>
      </c>
      <c r="C55" s="527"/>
      <c r="D55" s="527"/>
      <c r="E55" s="527"/>
    </row>
    <row r="56" spans="1:6" s="327" customFormat="1" ht="29.25" customHeight="1" x14ac:dyDescent="0.3">
      <c r="A56" s="328" t="s">
        <v>269</v>
      </c>
      <c r="B56" s="527" t="s">
        <v>367</v>
      </c>
      <c r="C56" s="527"/>
      <c r="D56" s="527"/>
      <c r="E56" s="527"/>
    </row>
    <row r="57" spans="1:6" s="327" customFormat="1" ht="30" customHeight="1" x14ac:dyDescent="0.3">
      <c r="A57" s="328" t="s">
        <v>264</v>
      </c>
      <c r="B57" s="527" t="s">
        <v>265</v>
      </c>
      <c r="C57" s="527"/>
      <c r="D57" s="527"/>
      <c r="E57" s="527"/>
    </row>
    <row r="58" spans="1:6" s="327" customFormat="1" ht="30" customHeight="1" x14ac:dyDescent="0.3">
      <c r="A58" s="328" t="s">
        <v>337</v>
      </c>
      <c r="B58" s="527" t="s">
        <v>336</v>
      </c>
      <c r="C58" s="527"/>
      <c r="D58" s="527"/>
      <c r="E58" s="527"/>
    </row>
    <row r="59" spans="1:6" x14ac:dyDescent="0.3">
      <c r="A59" s="33"/>
      <c r="B59" s="33"/>
      <c r="C59" s="33"/>
      <c r="D59" s="33"/>
      <c r="E59" s="33"/>
    </row>
    <row r="60" spans="1:6" ht="14.15" x14ac:dyDescent="0.3">
      <c r="A60" s="39" t="s">
        <v>27</v>
      </c>
      <c r="B60" s="33"/>
      <c r="C60" s="33"/>
      <c r="D60" s="33"/>
      <c r="E60" s="33"/>
    </row>
    <row r="61" spans="1:6" ht="14.15" x14ac:dyDescent="0.3">
      <c r="A61" s="38"/>
      <c r="B61" s="532"/>
      <c r="C61" s="532"/>
      <c r="D61" s="532"/>
      <c r="E61" s="532"/>
    </row>
    <row r="62" spans="1:6" s="285" customFormat="1" ht="21" customHeight="1" x14ac:dyDescent="0.3">
      <c r="A62" s="528" t="s">
        <v>317</v>
      </c>
      <c r="B62" s="529"/>
      <c r="C62" s="529"/>
      <c r="D62" s="529"/>
      <c r="E62" s="529"/>
    </row>
    <row r="63" spans="1:6" s="285" customFormat="1" ht="21" customHeight="1" x14ac:dyDescent="0.3">
      <c r="A63" s="533" t="s">
        <v>464</v>
      </c>
      <c r="B63" s="534"/>
      <c r="C63" s="534"/>
      <c r="D63" s="534"/>
      <c r="E63" s="534"/>
      <c r="F63" s="534"/>
    </row>
    <row r="64" spans="1:6" x14ac:dyDescent="0.3">
      <c r="A64" s="257"/>
      <c r="B64" s="258"/>
      <c r="C64" s="258"/>
      <c r="D64" s="258"/>
      <c r="E64" s="258"/>
      <c r="F64" s="258"/>
    </row>
    <row r="65" spans="1:6" ht="14.15" x14ac:dyDescent="0.3">
      <c r="A65" s="284" t="s">
        <v>496</v>
      </c>
      <c r="B65" s="258"/>
      <c r="C65" s="258"/>
      <c r="D65" s="258"/>
      <c r="E65" s="258"/>
      <c r="F65" s="258"/>
    </row>
    <row r="66" spans="1:6" ht="14.15" x14ac:dyDescent="0.3">
      <c r="A66" s="35"/>
      <c r="B66" s="532"/>
      <c r="C66" s="532"/>
      <c r="D66" s="532"/>
      <c r="E66" s="532"/>
    </row>
    <row r="67" spans="1:6" ht="28.5" customHeight="1" x14ac:dyDescent="0.3">
      <c r="A67" s="530" t="s">
        <v>292</v>
      </c>
      <c r="B67" s="530"/>
      <c r="C67" s="530"/>
      <c r="D67" s="530"/>
      <c r="E67" s="530"/>
    </row>
    <row r="68" spans="1:6" ht="28.5" customHeight="1" x14ac:dyDescent="0.3">
      <c r="A68" s="525"/>
      <c r="B68" s="525"/>
      <c r="C68" s="525"/>
      <c r="D68" s="525"/>
      <c r="E68" s="525"/>
    </row>
  </sheetData>
  <customSheetViews>
    <customSheetView guid="{5032A364-B81A-48DA-88DA-AB3B86B47EE9}">
      <selection activeCell="A12" sqref="A12"/>
      <pageMargins left="0.7" right="0.7" top="0.75" bottom="0.75" header="0.3" footer="0.3"/>
    </customSheetView>
  </customSheetViews>
  <mergeCells count="17">
    <mergeCell ref="B8:E8"/>
    <mergeCell ref="B23:E23"/>
    <mergeCell ref="B24:E24"/>
    <mergeCell ref="B25:E25"/>
    <mergeCell ref="B7:E7"/>
    <mergeCell ref="A68:E68"/>
    <mergeCell ref="F25:H25"/>
    <mergeCell ref="B57:E57"/>
    <mergeCell ref="A62:E62"/>
    <mergeCell ref="A67:E67"/>
    <mergeCell ref="B40:E40"/>
    <mergeCell ref="B56:E56"/>
    <mergeCell ref="B55:E55"/>
    <mergeCell ref="B58:E58"/>
    <mergeCell ref="B61:E61"/>
    <mergeCell ref="B66:E66"/>
    <mergeCell ref="A63:F63"/>
  </mergeCells>
  <hyperlinks>
    <hyperlink ref="A8" location="'Annex 1 LV and HV charges'!A1" display="Annex 1 LV and HV charges" xr:uid="{00000000-0004-0000-0000-000000000000}"/>
    <hyperlink ref="A23" location="'Annex 2 EHV charges'!A1" display="Annex 2 EHV charges" xr:uid="{00000000-0004-0000-0000-000001000000}"/>
    <hyperlink ref="A24" location="'Annex 3 Preserved charges'!A1" display="Annex 3 Preserved charges" xr:uid="{00000000-0004-0000-0000-000002000000}"/>
    <hyperlink ref="A25" location="'Annex 4 LDNO charges'!A1" display="Annex 4 LDNO charges" xr:uid="{00000000-0004-0000-0000-000003000000}"/>
    <hyperlink ref="A40" location="'Annex 5 LLFs'!A1" display="Annex 5 LLFs" xr:uid="{00000000-0004-0000-0000-000004000000}"/>
    <hyperlink ref="A56" location="'Nodal prices'!A1" display="Nodal prices" xr:uid="{00000000-0004-0000-0000-000005000000}"/>
    <hyperlink ref="A55" location="'Annex 6 new or amended EHV'!Print_Area" display="Annex 6  Charges for New or Amended Designated EHV Properties" xr:uid="{00000000-0004-0000-0000-000006000000}"/>
    <hyperlink ref="A57" location="'SSC TPR unit rate lookup'!A1" display="SSC TPR to unit rate lookup table" xr:uid="{00000000-0004-0000-0000-000007000000}"/>
    <hyperlink ref="A58" location="'Charge Calculator'!B10" display="Charge calculator" xr:uid="{00000000-0004-0000-0000-000008000000}"/>
    <hyperlink ref="A9" location="'Annex 1 LV and HV charges_A'!A1" display="Annex 1 LV and HV charges_A" xr:uid="{CDC20D71-A10E-4A07-AF17-0EFB0D8FC345}"/>
    <hyperlink ref="A10" location="'Annex 1 LV and HV charges_B'!A1" display="Annex 1 LV and HV charges_B" xr:uid="{6C7B04B3-7406-47A9-87E5-31EF6E06E450}"/>
    <hyperlink ref="A11" location="'Annex 1 LV and HV charges_C'!A1" display="Annex 1 LV and HV charges_C" xr:uid="{85273B80-4E81-4796-AA6B-D160B038B662}"/>
    <hyperlink ref="A12" location="'Annex 1 LV and HV charges_D'!A1" display="Annex 1 LV and HV charges_D" xr:uid="{C1CDD0B0-FF86-4978-9043-AD8189AA1CF2}"/>
    <hyperlink ref="A13" location="'Annex 1 LV and HV charges_E'!A1" display="Annex 1 LV and HV charges_E" xr:uid="{C4423B51-8A81-4E4F-BBA0-864CC0A705E7}"/>
    <hyperlink ref="A14" location="'Annex 1 LV and HV charges_F'!A1" display="Annex 1 LV and HV charges_F" xr:uid="{32A11DC7-A9AA-482E-B0F4-BF86355BA6DF}"/>
    <hyperlink ref="A15" location="'Annex 1 LV and HV charges_G'!A1" display="Annex 1 LV and HV charges_G" xr:uid="{C4C37B06-01A2-4B9D-8629-EA842602B553}"/>
    <hyperlink ref="A16" location="'Annex 1 LV and HV charges_H'!A1" display="Annex 1 LV and HV charges_H" xr:uid="{D56BCCE6-C086-43B2-A4E7-A430C0749D02}"/>
    <hyperlink ref="A17" location="'Annex 1 LV and HV charges_J'!A1" display="Annex 1 LV and HV charges_J" xr:uid="{5FDA7C79-9D7E-4E4D-AEDD-5D795F424033}"/>
    <hyperlink ref="A18" location="'Annex 1 LV and HV charges_K'!A1" display="Annex 1 LV and HV charges_K" xr:uid="{F019B889-6295-4750-A9CE-2D7B72EFD7B9}"/>
    <hyperlink ref="A19" location="'Annex 1 LV and HV charges_L'!A1" display="Annex 1 LV and HV charges_L" xr:uid="{6E3055EC-036B-4A91-8BE9-B2A1C4516AD6}"/>
    <hyperlink ref="A20" location="'Annex 1 LV and HV charges_M'!A1" display="Annex 1 LV and HV charges_M" xr:uid="{02609F73-DF4C-44A0-9B52-B3055F7AD615}"/>
    <hyperlink ref="A26" location="'Annex 4 LDNO charges_A'!A1" display="Annex 4 LDNO charges_A" xr:uid="{1D191FC6-8AC5-4794-B59F-7C6E394B1A36}"/>
    <hyperlink ref="A27" location="'Annex 4 LDNO charges_B'!A1" display="Annex 4 LDNO charges_B" xr:uid="{2AB873B9-8EB9-4F0B-A4A1-7ECC6DB167C1}"/>
    <hyperlink ref="A28" location="'Annex 4 LDNO charges_C'!A1" display="Annex 4 LDNO charges_C" xr:uid="{9FC20FEA-C15A-4DFE-BD43-AEC1C39FFA58}"/>
    <hyperlink ref="A29" location="'Annex 4 LDNO charges_D'!A1" display="Annex 4 LDNO charges_D" xr:uid="{33A226CE-B550-4C99-AA35-49D641F0EB9A}"/>
    <hyperlink ref="A30" location="'Annex 4 LDNO charges_E'!A1" display="Annex 4 LDNO charges_E" xr:uid="{4AAD7806-1666-4937-920D-6917C86C409E}"/>
    <hyperlink ref="A31" location="'Annex 4 LDNO charges_F'!A1" display="Annex 4 LDNO charges_F" xr:uid="{3C6880AC-8017-4339-B5E6-4ACE2399D618}"/>
    <hyperlink ref="A32" location="'Annex 4 LDNO charges_G'!A1" display="Annex 4 LDNO charges_G" xr:uid="{F5407D23-C399-44E5-8382-AD2B69F72A79}"/>
    <hyperlink ref="A33" location="'Annex 4 LDNO charges_H'!A1" display="Annex 4 LDNO charges_H" xr:uid="{2AE93056-92FE-4BF8-A943-5DEE59EF0AE7}"/>
    <hyperlink ref="A34" location="'Annex 5 LLFs_J'!A1" display="Annex 4 LDNO charges_J" xr:uid="{40A09035-93C0-47C2-BC0E-D281C8756858}"/>
    <hyperlink ref="A35" location="'Annex 4 LDNO charges_K'!A1" display="Annex 4 LDNO charges_K" xr:uid="{C72C4984-DFFF-4E52-A72D-3DB988CB2D51}"/>
    <hyperlink ref="A36" location="'Annex 4 LDNO charges_L'!A1" display="Annex 4 LDNO charges_L" xr:uid="{A7C1D33B-CB1C-4171-8555-60D54E43A1D4}"/>
    <hyperlink ref="A37" location="'Annex 4 LDNO charges_M'!A1" display="Annex 4 LDNO charges_M" xr:uid="{11831FCC-39BB-4CBF-A975-0ADF49482815}"/>
    <hyperlink ref="A41" location="'Annex 5 LLFs_A'!A1" display="Annex 5 LLFs_A" xr:uid="{133C80AC-1FBC-486F-8AA4-3F30482BB54E}"/>
    <hyperlink ref="A42:A52" location="'Annex 5 LLFs_A'!A1" display="Annex 5 LLFs_A" xr:uid="{4BA03CF8-B13D-4FD8-B027-D22511576F1F}"/>
    <hyperlink ref="A42" location="'Annex 5 LLFs_B'!A1" display="Annex 5 LLFs_B" xr:uid="{3C2E125C-6650-4691-9E2A-37A124D91839}"/>
    <hyperlink ref="A43" location="'Annex 5 LLFs_C'!A1" display="Annex 5 LLFs_C" xr:uid="{0CDC8239-A7CD-43BA-B5E0-8979508F503A}"/>
    <hyperlink ref="A44" location="'Annex 5 LLFs_D'!A1" display="Annex 5 LLFs_D" xr:uid="{1A1BBC36-7F09-4FFE-BBCD-E12B359BC2A4}"/>
    <hyperlink ref="A45" location="'Annex 5 LLFs_E'!A1" display="Annex 5 LLFs_E" xr:uid="{E04E4B20-D505-40E4-B8FA-B0788CE16AFE}"/>
    <hyperlink ref="A46" location="'Annex 5 LLFs_F'!A1" display="Annex 5 LLFs_F" xr:uid="{E1948ED6-FE94-41BC-8C7B-027B429010DF}"/>
    <hyperlink ref="A47" location="'Annex 5 LLFs_G'!A1" display="Annex 5 LLFs_G" xr:uid="{685A18BF-D6A9-490F-A11C-F23A48DA93DB}"/>
    <hyperlink ref="A48" location="'Annex 5 LLFs_H'!A1" display="Annex 5 LLFs_H" xr:uid="{8E014653-F582-4AAC-AA8B-889CB7BB7123}"/>
    <hyperlink ref="A49" location="'Annex 5 LLFs_J'!A1" display="Annex 5 LLFs_J" xr:uid="{C783689B-10A6-49F1-97CD-847836897FF5}"/>
    <hyperlink ref="A50" location="'Annex 5 LLFs_K'!A1" display="Annex 5 LLFs_K" xr:uid="{983143ED-8B9E-4FA2-8608-6A5DC810B994}"/>
    <hyperlink ref="A51" location="'Annex 5 LLFs_L'!A1" display="Annex 5 LLFs_L" xr:uid="{8D718715-AEEF-4C79-B0D6-FE6C7DB5EE00}"/>
    <hyperlink ref="A52" location="'Annex 5 LLFs_M'!A1" display="Annex 5 LLFs_M" xr:uid="{595BBB09-49ED-476E-9D40-ABC0754A2883}"/>
    <hyperlink ref="A21" location="'Annex 4 LDNO charges_N'!A1" display="Annex 1 LV and HV charges_N" xr:uid="{E0DDE8D2-77F5-4FDF-AE1C-DB70AD66E357}"/>
    <hyperlink ref="A22" location="'Annex 1 LV and HV charges_P'!A1" display="Annex 1 LV and HV charges_P" xr:uid="{51741227-8521-4631-86F5-3F4FB6DF9CB2}"/>
    <hyperlink ref="A38" location="'Annex 4 LDNO charges_N'!A1" display="Annex 4 LDNO charges_N" xr:uid="{EEB863AA-EBF0-4232-BD76-5FD44846B2A3}"/>
    <hyperlink ref="A39" location="'Annex 4 LDNO charges_P'!A1" display="Annex 4 LDNO charges_P" xr:uid="{929EB9E5-0890-4660-88E8-28504CCE0387}"/>
    <hyperlink ref="A53" location="'Annex 5 LLFs_N'!A1" display="Annex 5 LLFs_N" xr:uid="{0F1FBFF7-BA5B-44DA-A91F-45E40B377CC5}"/>
    <hyperlink ref="A54" location="'Annex 5 LLFs_P'!A1" display="Annex 5 LLFs_P" xr:uid="{F04876BE-6D4D-46FB-9DEA-E4D74238A5C5}"/>
  </hyperlinks>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43"/>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6" t="s">
        <v>19</v>
      </c>
      <c r="B1" s="45"/>
      <c r="C1" s="45"/>
      <c r="D1" s="45"/>
      <c r="E1" s="551" t="s">
        <v>463</v>
      </c>
      <c r="F1" s="551"/>
      <c r="G1" s="551"/>
      <c r="H1" s="551"/>
      <c r="I1" s="551"/>
      <c r="J1" s="551"/>
      <c r="K1" s="551"/>
      <c r="L1" s="251"/>
      <c r="M1" s="251"/>
      <c r="N1" s="251"/>
      <c r="O1" s="251"/>
    </row>
    <row r="2" spans="1:15" ht="40" customHeight="1" x14ac:dyDescent="0.3">
      <c r="A2" s="552" t="str">
        <f>Overview!B4&amp;" - Effective from "&amp;Overview!D4&amp;" - Final LV and HV charges in UKPN SPN Area (GSP Group _J)"</f>
        <v>Indigo Power Limited - Effective from 1 April 2023 - Final LV and HV charges in UKPN SPN Area (GSP Group _J)</v>
      </c>
      <c r="B2" s="552"/>
      <c r="C2" s="552"/>
      <c r="D2" s="552"/>
      <c r="E2" s="552"/>
      <c r="F2" s="552"/>
      <c r="G2" s="552"/>
      <c r="H2" s="552"/>
      <c r="I2" s="552"/>
      <c r="J2" s="552"/>
      <c r="K2" s="552"/>
      <c r="L2" s="252"/>
      <c r="M2" s="252"/>
      <c r="N2" s="253"/>
      <c r="O2" s="253"/>
    </row>
    <row r="3" spans="1:15" s="47" customFormat="1" ht="40" customHeight="1" x14ac:dyDescent="0.3">
      <c r="A3" s="45"/>
      <c r="B3" s="45"/>
      <c r="C3" s="45"/>
      <c r="D3" s="45"/>
      <c r="E3" s="45"/>
      <c r="F3" s="45"/>
      <c r="G3" s="45"/>
      <c r="H3" s="45"/>
      <c r="I3" s="45"/>
      <c r="J3" s="45"/>
      <c r="K3" s="45"/>
      <c r="L3" s="46"/>
      <c r="M3" s="46"/>
    </row>
    <row r="4" spans="1:15" ht="40" customHeight="1" x14ac:dyDescent="0.3">
      <c r="A4" s="553" t="s">
        <v>308</v>
      </c>
      <c r="B4" s="554"/>
      <c r="C4" s="554"/>
      <c r="D4" s="554"/>
      <c r="E4" s="555"/>
      <c r="F4" s="45"/>
      <c r="G4" s="553" t="s">
        <v>307</v>
      </c>
      <c r="H4" s="554"/>
      <c r="I4" s="554"/>
      <c r="J4" s="554"/>
      <c r="K4" s="555"/>
    </row>
    <row r="5" spans="1:15" ht="40" customHeight="1" x14ac:dyDescent="0.3">
      <c r="A5" s="468" t="s">
        <v>13</v>
      </c>
      <c r="B5" s="281" t="s">
        <v>299</v>
      </c>
      <c r="C5" s="563" t="s">
        <v>300</v>
      </c>
      <c r="D5" s="564"/>
      <c r="E5" s="42" t="s">
        <v>301</v>
      </c>
      <c r="F5" s="45"/>
      <c r="G5" s="549"/>
      <c r="H5" s="550"/>
      <c r="I5" s="43" t="s">
        <v>305</v>
      </c>
      <c r="J5" s="44" t="s">
        <v>306</v>
      </c>
      <c r="K5" s="42" t="s">
        <v>301</v>
      </c>
      <c r="L5" s="45"/>
      <c r="N5" s="3"/>
    </row>
    <row r="6" spans="1:15" ht="40" customHeight="1" x14ac:dyDescent="0.3">
      <c r="A6" s="105" t="s">
        <v>601</v>
      </c>
      <c r="B6" s="13" t="s">
        <v>465</v>
      </c>
      <c r="C6" s="542" t="s">
        <v>602</v>
      </c>
      <c r="D6" s="543" t="s">
        <v>603</v>
      </c>
      <c r="E6" s="86" t="s">
        <v>604</v>
      </c>
      <c r="F6" s="45" t="s">
        <v>603</v>
      </c>
      <c r="G6" s="537" t="s">
        <v>303</v>
      </c>
      <c r="H6" s="538" t="s">
        <v>603</v>
      </c>
      <c r="I6" s="13" t="s">
        <v>465</v>
      </c>
      <c r="J6" s="279" t="s">
        <v>602</v>
      </c>
      <c r="K6" s="86" t="s">
        <v>604</v>
      </c>
      <c r="L6" s="45"/>
      <c r="N6" s="3"/>
    </row>
    <row r="7" spans="1:15" ht="40" customHeight="1" x14ac:dyDescent="0.3">
      <c r="A7" s="105" t="s">
        <v>605</v>
      </c>
      <c r="B7" s="274" t="s">
        <v>603</v>
      </c>
      <c r="C7" s="556" t="s">
        <v>603</v>
      </c>
      <c r="D7" s="557" t="s">
        <v>603</v>
      </c>
      <c r="E7" s="279" t="s">
        <v>606</v>
      </c>
      <c r="F7" s="45" t="s">
        <v>603</v>
      </c>
      <c r="G7" s="537" t="s">
        <v>607</v>
      </c>
      <c r="H7" s="538" t="s">
        <v>603</v>
      </c>
      <c r="I7" s="274" t="s">
        <v>603</v>
      </c>
      <c r="J7" s="279" t="s">
        <v>608</v>
      </c>
      <c r="K7" s="86" t="s">
        <v>604</v>
      </c>
      <c r="L7" s="45"/>
      <c r="N7" s="3"/>
    </row>
    <row r="8" spans="1:15" ht="40" customHeight="1" x14ac:dyDescent="0.3">
      <c r="A8" s="465" t="s">
        <v>14</v>
      </c>
      <c r="B8" s="537" t="s">
        <v>466</v>
      </c>
      <c r="C8" s="546" t="s">
        <v>603</v>
      </c>
      <c r="D8" s="546" t="s">
        <v>603</v>
      </c>
      <c r="E8" s="538" t="s">
        <v>603</v>
      </c>
      <c r="F8" s="45" t="s">
        <v>603</v>
      </c>
      <c r="G8" s="537" t="s">
        <v>605</v>
      </c>
      <c r="H8" s="538" t="s">
        <v>603</v>
      </c>
      <c r="I8" s="274" t="s">
        <v>603</v>
      </c>
      <c r="J8" s="274" t="s">
        <v>603</v>
      </c>
      <c r="K8" s="279" t="s">
        <v>606</v>
      </c>
      <c r="L8" s="45"/>
      <c r="N8" s="3"/>
    </row>
    <row r="9" spans="1:15" s="47" customFormat="1" ht="40" customHeight="1" x14ac:dyDescent="0.3">
      <c r="A9" s="45" t="s">
        <v>603</v>
      </c>
      <c r="B9" s="45" t="s">
        <v>603</v>
      </c>
      <c r="C9" s="45" t="s">
        <v>603</v>
      </c>
      <c r="D9" s="45" t="s">
        <v>603</v>
      </c>
      <c r="E9" s="45" t="s">
        <v>603</v>
      </c>
      <c r="F9" s="45" t="s">
        <v>603</v>
      </c>
      <c r="G9" s="537" t="s">
        <v>14</v>
      </c>
      <c r="H9" s="538" t="s">
        <v>603</v>
      </c>
      <c r="I9" s="537" t="s">
        <v>466</v>
      </c>
      <c r="J9" s="546" t="s">
        <v>603</v>
      </c>
      <c r="K9" s="538" t="s">
        <v>603</v>
      </c>
      <c r="L9" s="46"/>
      <c r="M9" s="46"/>
    </row>
    <row r="10" spans="1:15" s="47" customFormat="1" ht="40" customHeight="1" x14ac:dyDescent="0.3">
      <c r="A10" s="45"/>
      <c r="B10" s="45"/>
      <c r="C10" s="45"/>
      <c r="D10" s="518" t="s">
        <v>480</v>
      </c>
      <c r="E10" s="45"/>
      <c r="F10" s="45"/>
      <c r="G10" s="50"/>
      <c r="H10" s="50"/>
      <c r="I10" s="50"/>
      <c r="J10" s="50"/>
      <c r="K10" s="50"/>
      <c r="L10" s="46"/>
      <c r="M10" s="46"/>
    </row>
    <row r="11" spans="1:15"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c r="M11" s="46"/>
    </row>
    <row r="12" spans="1:15" ht="35.049999999999997" customHeight="1" x14ac:dyDescent="0.3">
      <c r="A12" s="10" t="s">
        <v>570</v>
      </c>
      <c r="B12" s="387" t="s">
        <v>1082</v>
      </c>
      <c r="C12" s="434" t="s">
        <v>639</v>
      </c>
      <c r="D12" s="501">
        <v>15.755000000000001</v>
      </c>
      <c r="E12" s="502">
        <v>0.622</v>
      </c>
      <c r="F12" s="503">
        <v>0.192</v>
      </c>
      <c r="G12" s="489">
        <v>8.4499999999999993</v>
      </c>
      <c r="H12" s="490"/>
      <c r="I12" s="490"/>
      <c r="J12" s="500"/>
      <c r="K12" s="26"/>
      <c r="M12" s="46"/>
    </row>
    <row r="13" spans="1:15" ht="35.049999999999997" customHeight="1" x14ac:dyDescent="0.3">
      <c r="A13" s="10" t="s">
        <v>571</v>
      </c>
      <c r="B13" s="387" t="s">
        <v>1083</v>
      </c>
      <c r="C13" s="391" t="s">
        <v>575</v>
      </c>
      <c r="D13" s="501">
        <v>15.755000000000001</v>
      </c>
      <c r="E13" s="502">
        <v>0.622</v>
      </c>
      <c r="F13" s="503">
        <v>0.192</v>
      </c>
      <c r="G13" s="490"/>
      <c r="H13" s="490"/>
      <c r="I13" s="490"/>
      <c r="J13" s="500"/>
      <c r="K13" s="26"/>
      <c r="M13" s="46"/>
    </row>
    <row r="14" spans="1:15" ht="35.049999999999997" customHeight="1" x14ac:dyDescent="0.3">
      <c r="A14" s="10" t="s">
        <v>745</v>
      </c>
      <c r="B14" s="387" t="s">
        <v>1084</v>
      </c>
      <c r="C14" s="409" t="s">
        <v>640</v>
      </c>
      <c r="D14" s="501">
        <v>11.797000000000001</v>
      </c>
      <c r="E14" s="502">
        <v>0.46600000000000003</v>
      </c>
      <c r="F14" s="503">
        <v>0.14399999999999999</v>
      </c>
      <c r="G14" s="489">
        <v>4.41</v>
      </c>
      <c r="H14" s="490"/>
      <c r="I14" s="490"/>
      <c r="J14" s="500"/>
      <c r="K14" s="26"/>
      <c r="M14" s="46"/>
    </row>
    <row r="15" spans="1:15" ht="35.049999999999997" customHeight="1" x14ac:dyDescent="0.3">
      <c r="A15" s="10" t="s">
        <v>746</v>
      </c>
      <c r="B15" s="387" t="s">
        <v>1085</v>
      </c>
      <c r="C15" s="409" t="s">
        <v>640</v>
      </c>
      <c r="D15" s="501">
        <v>11.797000000000001</v>
      </c>
      <c r="E15" s="502">
        <v>0.46600000000000003</v>
      </c>
      <c r="F15" s="503">
        <v>0.14399999999999999</v>
      </c>
      <c r="G15" s="489">
        <v>6.01</v>
      </c>
      <c r="H15" s="490"/>
      <c r="I15" s="490"/>
      <c r="J15" s="500"/>
      <c r="K15" s="26"/>
      <c r="M15" s="46"/>
    </row>
    <row r="16" spans="1:15" ht="35.049999999999997" customHeight="1" x14ac:dyDescent="0.3">
      <c r="A16" s="10" t="s">
        <v>747</v>
      </c>
      <c r="B16" s="27" t="s">
        <v>1086</v>
      </c>
      <c r="C16" s="409" t="s">
        <v>640</v>
      </c>
      <c r="D16" s="501">
        <v>11.797000000000001</v>
      </c>
      <c r="E16" s="502">
        <v>0.46600000000000003</v>
      </c>
      <c r="F16" s="503">
        <v>0.14399999999999999</v>
      </c>
      <c r="G16" s="489">
        <v>14.11</v>
      </c>
      <c r="H16" s="490"/>
      <c r="I16" s="490"/>
      <c r="J16" s="500"/>
      <c r="K16" s="26"/>
      <c r="M16" s="46"/>
    </row>
    <row r="17" spans="1:13" ht="35.049999999999997" customHeight="1" x14ac:dyDescent="0.3">
      <c r="A17" s="10" t="s">
        <v>748</v>
      </c>
      <c r="B17" s="27" t="s">
        <v>1087</v>
      </c>
      <c r="C17" s="409" t="s">
        <v>640</v>
      </c>
      <c r="D17" s="501">
        <v>11.797000000000001</v>
      </c>
      <c r="E17" s="502">
        <v>0.46600000000000003</v>
      </c>
      <c r="F17" s="503">
        <v>0.14399999999999999</v>
      </c>
      <c r="G17" s="489">
        <v>28.43</v>
      </c>
      <c r="H17" s="490"/>
      <c r="I17" s="490"/>
      <c r="J17" s="500"/>
      <c r="K17" s="26"/>
      <c r="M17" s="46"/>
    </row>
    <row r="18" spans="1:13" ht="35.049999999999997" customHeight="1" x14ac:dyDescent="0.3">
      <c r="A18" s="10" t="s">
        <v>749</v>
      </c>
      <c r="B18" s="27" t="s">
        <v>1088</v>
      </c>
      <c r="C18" s="409" t="s">
        <v>640</v>
      </c>
      <c r="D18" s="501">
        <v>11.797000000000001</v>
      </c>
      <c r="E18" s="502">
        <v>0.46600000000000003</v>
      </c>
      <c r="F18" s="503">
        <v>0.14399999999999999</v>
      </c>
      <c r="G18" s="489">
        <v>74.680000000000007</v>
      </c>
      <c r="H18" s="490"/>
      <c r="I18" s="490"/>
      <c r="J18" s="500"/>
      <c r="K18" s="26"/>
      <c r="M18" s="46"/>
    </row>
    <row r="19" spans="1:13" ht="35.049999999999997" customHeight="1" x14ac:dyDescent="0.3">
      <c r="A19" s="10" t="s">
        <v>572</v>
      </c>
      <c r="B19" s="27" t="s">
        <v>1089</v>
      </c>
      <c r="C19" s="391" t="s">
        <v>577</v>
      </c>
      <c r="D19" s="501">
        <v>11.797000000000001</v>
      </c>
      <c r="E19" s="502">
        <v>0.46600000000000003</v>
      </c>
      <c r="F19" s="503">
        <v>0.14399999999999999</v>
      </c>
      <c r="G19" s="490"/>
      <c r="H19" s="490"/>
      <c r="I19" s="490"/>
      <c r="J19" s="500"/>
      <c r="K19" s="26"/>
      <c r="M19" s="46"/>
    </row>
    <row r="20" spans="1:13" ht="35.049999999999997" customHeight="1" x14ac:dyDescent="0.3">
      <c r="A20" s="10" t="s">
        <v>750</v>
      </c>
      <c r="B20" s="24" t="s">
        <v>1214</v>
      </c>
      <c r="C20" s="395">
        <v>0</v>
      </c>
      <c r="D20" s="501">
        <v>8.9339999999999993</v>
      </c>
      <c r="E20" s="502">
        <v>0.34200000000000003</v>
      </c>
      <c r="F20" s="503">
        <v>0.10299999999999999</v>
      </c>
      <c r="G20" s="489">
        <v>14.14</v>
      </c>
      <c r="H20" s="489">
        <v>3.71</v>
      </c>
      <c r="I20" s="396">
        <v>6.98</v>
      </c>
      <c r="J20" s="499">
        <v>0.29599999999999999</v>
      </c>
      <c r="K20" s="26"/>
      <c r="M20" s="46"/>
    </row>
    <row r="21" spans="1:13" ht="35.049999999999997" customHeight="1" x14ac:dyDescent="0.3">
      <c r="A21" s="10" t="s">
        <v>751</v>
      </c>
      <c r="B21" s="26" t="s">
        <v>1090</v>
      </c>
      <c r="C21" s="395">
        <v>0</v>
      </c>
      <c r="D21" s="501">
        <v>8.9339999999999993</v>
      </c>
      <c r="E21" s="502">
        <v>0.34200000000000003</v>
      </c>
      <c r="F21" s="503">
        <v>0.10299999999999999</v>
      </c>
      <c r="G21" s="489">
        <v>133.24</v>
      </c>
      <c r="H21" s="489">
        <v>3.71</v>
      </c>
      <c r="I21" s="396">
        <v>6.98</v>
      </c>
      <c r="J21" s="499">
        <v>0.29599999999999999</v>
      </c>
      <c r="K21" s="26"/>
      <c r="M21" s="46"/>
    </row>
    <row r="22" spans="1:13" ht="35.049999999999997" customHeight="1" x14ac:dyDescent="0.3">
      <c r="A22" s="10" t="s">
        <v>752</v>
      </c>
      <c r="B22" s="26" t="s">
        <v>1091</v>
      </c>
      <c r="C22" s="395">
        <v>0</v>
      </c>
      <c r="D22" s="501">
        <v>8.9339999999999993</v>
      </c>
      <c r="E22" s="502">
        <v>0.34200000000000003</v>
      </c>
      <c r="F22" s="503">
        <v>0.10299999999999999</v>
      </c>
      <c r="G22" s="489">
        <v>214.83</v>
      </c>
      <c r="H22" s="489">
        <v>3.71</v>
      </c>
      <c r="I22" s="396">
        <v>6.98</v>
      </c>
      <c r="J22" s="499">
        <v>0.29599999999999999</v>
      </c>
      <c r="K22" s="26"/>
      <c r="M22" s="46"/>
    </row>
    <row r="23" spans="1:13" ht="35.049999999999997" customHeight="1" x14ac:dyDescent="0.3">
      <c r="A23" s="10" t="s">
        <v>753</v>
      </c>
      <c r="B23" s="26" t="s">
        <v>1092</v>
      </c>
      <c r="C23" s="395">
        <v>0</v>
      </c>
      <c r="D23" s="501">
        <v>8.9339999999999993</v>
      </c>
      <c r="E23" s="502">
        <v>0.34200000000000003</v>
      </c>
      <c r="F23" s="503">
        <v>0.10299999999999999</v>
      </c>
      <c r="G23" s="489">
        <v>341.87</v>
      </c>
      <c r="H23" s="489">
        <v>3.71</v>
      </c>
      <c r="I23" s="396">
        <v>6.98</v>
      </c>
      <c r="J23" s="499">
        <v>0.29599999999999999</v>
      </c>
      <c r="K23" s="26"/>
      <c r="M23" s="46"/>
    </row>
    <row r="24" spans="1:13" ht="35.049999999999997" customHeight="1" x14ac:dyDescent="0.3">
      <c r="A24" s="10" t="s">
        <v>754</v>
      </c>
      <c r="B24" s="26" t="s">
        <v>1093</v>
      </c>
      <c r="C24" s="395">
        <v>0</v>
      </c>
      <c r="D24" s="501">
        <v>8.9339999999999993</v>
      </c>
      <c r="E24" s="502">
        <v>0.34200000000000003</v>
      </c>
      <c r="F24" s="503">
        <v>0.10299999999999999</v>
      </c>
      <c r="G24" s="489">
        <v>743.52</v>
      </c>
      <c r="H24" s="489">
        <v>3.71</v>
      </c>
      <c r="I24" s="396">
        <v>6.98</v>
      </c>
      <c r="J24" s="499">
        <v>0.29599999999999999</v>
      </c>
      <c r="K24" s="26"/>
      <c r="M24" s="46"/>
    </row>
    <row r="25" spans="1:13" ht="35.049999999999997" customHeight="1" x14ac:dyDescent="0.3">
      <c r="A25" s="10" t="s">
        <v>755</v>
      </c>
      <c r="B25" s="392" t="s">
        <v>480</v>
      </c>
      <c r="C25" s="395">
        <v>0</v>
      </c>
      <c r="D25" s="501">
        <v>5.9530000000000003</v>
      </c>
      <c r="E25" s="502">
        <v>0.21299999999999999</v>
      </c>
      <c r="F25" s="503">
        <v>6.0999999999999999E-2</v>
      </c>
      <c r="G25" s="489">
        <v>11.03</v>
      </c>
      <c r="H25" s="489">
        <v>5.61</v>
      </c>
      <c r="I25" s="396">
        <v>7.26</v>
      </c>
      <c r="J25" s="499">
        <v>0.189</v>
      </c>
      <c r="K25" s="26"/>
      <c r="M25" s="46"/>
    </row>
    <row r="26" spans="1:13" ht="35.049999999999997" customHeight="1" x14ac:dyDescent="0.3">
      <c r="A26" s="10" t="s">
        <v>756</v>
      </c>
      <c r="B26" s="392" t="s">
        <v>480</v>
      </c>
      <c r="C26" s="395">
        <v>0</v>
      </c>
      <c r="D26" s="501">
        <v>5.9530000000000003</v>
      </c>
      <c r="E26" s="502">
        <v>0.21299999999999999</v>
      </c>
      <c r="F26" s="503">
        <v>6.0999999999999999E-2</v>
      </c>
      <c r="G26" s="489">
        <v>130.13</v>
      </c>
      <c r="H26" s="489">
        <v>5.61</v>
      </c>
      <c r="I26" s="396">
        <v>7.26</v>
      </c>
      <c r="J26" s="499">
        <v>0.189</v>
      </c>
      <c r="K26" s="26"/>
      <c r="M26" s="46"/>
    </row>
    <row r="27" spans="1:13" ht="35.049999999999997" customHeight="1" x14ac:dyDescent="0.3">
      <c r="A27" s="10" t="s">
        <v>757</v>
      </c>
      <c r="B27" s="392" t="s">
        <v>480</v>
      </c>
      <c r="C27" s="395">
        <v>0</v>
      </c>
      <c r="D27" s="501">
        <v>5.9530000000000003</v>
      </c>
      <c r="E27" s="502">
        <v>0.21299999999999999</v>
      </c>
      <c r="F27" s="503">
        <v>6.0999999999999999E-2</v>
      </c>
      <c r="G27" s="489">
        <v>211.71</v>
      </c>
      <c r="H27" s="489">
        <v>5.61</v>
      </c>
      <c r="I27" s="396">
        <v>7.26</v>
      </c>
      <c r="J27" s="499">
        <v>0.189</v>
      </c>
      <c r="K27" s="26"/>
      <c r="M27" s="46"/>
    </row>
    <row r="28" spans="1:13" ht="35.049999999999997" customHeight="1" x14ac:dyDescent="0.3">
      <c r="A28" s="10" t="s">
        <v>758</v>
      </c>
      <c r="B28" s="392" t="s">
        <v>480</v>
      </c>
      <c r="C28" s="395">
        <v>0</v>
      </c>
      <c r="D28" s="501">
        <v>5.9530000000000003</v>
      </c>
      <c r="E28" s="502">
        <v>0.21299999999999999</v>
      </c>
      <c r="F28" s="503">
        <v>6.0999999999999999E-2</v>
      </c>
      <c r="G28" s="489">
        <v>338.75</v>
      </c>
      <c r="H28" s="489">
        <v>5.61</v>
      </c>
      <c r="I28" s="396">
        <v>7.26</v>
      </c>
      <c r="J28" s="499">
        <v>0.189</v>
      </c>
      <c r="K28" s="26"/>
      <c r="M28" s="46"/>
    </row>
    <row r="29" spans="1:13" ht="35.049999999999997" customHeight="1" x14ac:dyDescent="0.3">
      <c r="A29" s="10" t="s">
        <v>759</v>
      </c>
      <c r="B29" s="392" t="s">
        <v>480</v>
      </c>
      <c r="C29" s="395">
        <v>0</v>
      </c>
      <c r="D29" s="501">
        <v>5.9530000000000003</v>
      </c>
      <c r="E29" s="502">
        <v>0.21299999999999999</v>
      </c>
      <c r="F29" s="503">
        <v>6.0999999999999999E-2</v>
      </c>
      <c r="G29" s="489">
        <v>740.41</v>
      </c>
      <c r="H29" s="489">
        <v>5.61</v>
      </c>
      <c r="I29" s="396">
        <v>7.26</v>
      </c>
      <c r="J29" s="499">
        <v>0.189</v>
      </c>
      <c r="K29" s="26"/>
    </row>
    <row r="30" spans="1:13" ht="35.049999999999997" customHeight="1" x14ac:dyDescent="0.3">
      <c r="A30" s="10" t="s">
        <v>760</v>
      </c>
      <c r="B30" s="387" t="s">
        <v>1094</v>
      </c>
      <c r="C30" s="395">
        <v>0</v>
      </c>
      <c r="D30" s="501">
        <v>4.9020000000000001</v>
      </c>
      <c r="E30" s="502">
        <v>0.16900000000000001</v>
      </c>
      <c r="F30" s="503">
        <v>4.4999999999999998E-2</v>
      </c>
      <c r="G30" s="489">
        <v>138.06</v>
      </c>
      <c r="H30" s="489">
        <v>4.25</v>
      </c>
      <c r="I30" s="396">
        <v>6.5</v>
      </c>
      <c r="J30" s="499">
        <v>0.155</v>
      </c>
      <c r="K30" s="26"/>
    </row>
    <row r="31" spans="1:13" ht="35.049999999999997" customHeight="1" x14ac:dyDescent="0.3">
      <c r="A31" s="10" t="s">
        <v>761</v>
      </c>
      <c r="B31" s="26" t="s">
        <v>1095</v>
      </c>
      <c r="C31" s="395">
        <v>0</v>
      </c>
      <c r="D31" s="501">
        <v>4.9020000000000001</v>
      </c>
      <c r="E31" s="502">
        <v>0.16900000000000001</v>
      </c>
      <c r="F31" s="503">
        <v>4.4999999999999998E-2</v>
      </c>
      <c r="G31" s="489">
        <v>627.33000000000004</v>
      </c>
      <c r="H31" s="489">
        <v>4.25</v>
      </c>
      <c r="I31" s="396">
        <v>6.5</v>
      </c>
      <c r="J31" s="499">
        <v>0.155</v>
      </c>
      <c r="K31" s="26"/>
    </row>
    <row r="32" spans="1:13" ht="35.049999999999997" customHeight="1" x14ac:dyDescent="0.3">
      <c r="A32" s="10" t="s">
        <v>762</v>
      </c>
      <c r="B32" s="26" t="s">
        <v>1096</v>
      </c>
      <c r="C32" s="395">
        <v>0</v>
      </c>
      <c r="D32" s="501">
        <v>4.9020000000000001</v>
      </c>
      <c r="E32" s="502">
        <v>0.16900000000000001</v>
      </c>
      <c r="F32" s="503">
        <v>4.4999999999999998E-2</v>
      </c>
      <c r="G32" s="489">
        <v>2900.87</v>
      </c>
      <c r="H32" s="489">
        <v>4.25</v>
      </c>
      <c r="I32" s="396">
        <v>6.5</v>
      </c>
      <c r="J32" s="499">
        <v>0.155</v>
      </c>
      <c r="K32" s="26"/>
    </row>
    <row r="33" spans="1:11" ht="35.049999999999997" customHeight="1" x14ac:dyDescent="0.3">
      <c r="A33" s="10" t="s">
        <v>763</v>
      </c>
      <c r="B33" s="26" t="s">
        <v>1097</v>
      </c>
      <c r="C33" s="395">
        <v>0</v>
      </c>
      <c r="D33" s="501">
        <v>4.9020000000000001</v>
      </c>
      <c r="E33" s="502">
        <v>0.16900000000000001</v>
      </c>
      <c r="F33" s="503">
        <v>4.4999999999999998E-2</v>
      </c>
      <c r="G33" s="489">
        <v>2545.5500000000002</v>
      </c>
      <c r="H33" s="489">
        <v>4.25</v>
      </c>
      <c r="I33" s="396">
        <v>6.5</v>
      </c>
      <c r="J33" s="499">
        <v>0.155</v>
      </c>
      <c r="K33" s="26"/>
    </row>
    <row r="34" spans="1:11" ht="35.049999999999997" customHeight="1" x14ac:dyDescent="0.3">
      <c r="A34" s="10" t="s">
        <v>764</v>
      </c>
      <c r="B34" s="26" t="s">
        <v>1098</v>
      </c>
      <c r="C34" s="395">
        <v>0</v>
      </c>
      <c r="D34" s="501">
        <v>4.9020000000000001</v>
      </c>
      <c r="E34" s="502">
        <v>0.16900000000000001</v>
      </c>
      <c r="F34" s="503">
        <v>4.4999999999999998E-2</v>
      </c>
      <c r="G34" s="489">
        <v>6347.19</v>
      </c>
      <c r="H34" s="489">
        <v>4.25</v>
      </c>
      <c r="I34" s="396">
        <v>6.5</v>
      </c>
      <c r="J34" s="499">
        <v>0.155</v>
      </c>
      <c r="K34" s="26"/>
    </row>
    <row r="35" spans="1:11" ht="35.049999999999997" customHeight="1" x14ac:dyDescent="0.3">
      <c r="A35" s="10" t="s">
        <v>573</v>
      </c>
      <c r="B35" s="387" t="s">
        <v>1099</v>
      </c>
      <c r="C35" s="395" t="s">
        <v>616</v>
      </c>
      <c r="D35" s="504">
        <v>40.195999999999998</v>
      </c>
      <c r="E35" s="505">
        <v>1.7130000000000001</v>
      </c>
      <c r="F35" s="503">
        <v>1.4079999999999999</v>
      </c>
      <c r="G35" s="490"/>
      <c r="H35" s="490"/>
      <c r="I35" s="490"/>
      <c r="J35" s="500"/>
      <c r="K35" s="26"/>
    </row>
    <row r="36" spans="1:11" ht="35.049999999999997" customHeight="1" x14ac:dyDescent="0.3">
      <c r="A36" s="10" t="s">
        <v>617</v>
      </c>
      <c r="B36" s="27" t="s">
        <v>1100</v>
      </c>
      <c r="C36" s="435">
        <v>0</v>
      </c>
      <c r="D36" s="501">
        <v>-9.1539999999999999</v>
      </c>
      <c r="E36" s="502">
        <v>-0.36199999999999999</v>
      </c>
      <c r="F36" s="503">
        <v>-0.112</v>
      </c>
      <c r="G36" s="489">
        <v>0</v>
      </c>
      <c r="H36" s="490"/>
      <c r="I36" s="490"/>
      <c r="J36" s="500"/>
      <c r="K36" s="26"/>
    </row>
    <row r="37" spans="1:11" ht="35.049999999999997" customHeight="1" x14ac:dyDescent="0.3">
      <c r="A37" s="10" t="s">
        <v>682</v>
      </c>
      <c r="B37" s="392" t="s">
        <v>480</v>
      </c>
      <c r="C37" s="395">
        <v>0</v>
      </c>
      <c r="D37" s="501">
        <v>-8.0250000000000004</v>
      </c>
      <c r="E37" s="502">
        <v>-0.311</v>
      </c>
      <c r="F37" s="503">
        <v>-9.5000000000000001E-2</v>
      </c>
      <c r="G37" s="489">
        <v>0</v>
      </c>
      <c r="H37" s="490"/>
      <c r="I37" s="490"/>
      <c r="J37" s="500"/>
      <c r="K37" s="26"/>
    </row>
    <row r="38" spans="1:11" ht="35.049999999999997" customHeight="1" x14ac:dyDescent="0.3">
      <c r="A38" s="10" t="s">
        <v>597</v>
      </c>
      <c r="B38" s="27" t="s">
        <v>1101</v>
      </c>
      <c r="C38" s="395">
        <v>0</v>
      </c>
      <c r="D38" s="501">
        <v>-9.1539999999999999</v>
      </c>
      <c r="E38" s="502">
        <v>-0.36199999999999999</v>
      </c>
      <c r="F38" s="503">
        <v>-0.112</v>
      </c>
      <c r="G38" s="489">
        <v>0</v>
      </c>
      <c r="H38" s="490"/>
      <c r="I38" s="490"/>
      <c r="J38" s="499">
        <v>0.27100000000000002</v>
      </c>
      <c r="K38" s="26"/>
    </row>
    <row r="39" spans="1:11" ht="35.049999999999997" customHeight="1" x14ac:dyDescent="0.3">
      <c r="A39" s="10" t="s">
        <v>683</v>
      </c>
      <c r="B39" s="392" t="s">
        <v>480</v>
      </c>
      <c r="C39" s="395">
        <v>0</v>
      </c>
      <c r="D39" s="501">
        <v>-9.1539999999999999</v>
      </c>
      <c r="E39" s="502">
        <v>-0.36199999999999999</v>
      </c>
      <c r="F39" s="503">
        <v>-0.112</v>
      </c>
      <c r="G39" s="489">
        <v>0</v>
      </c>
      <c r="H39" s="490"/>
      <c r="I39" s="490"/>
      <c r="J39" s="500"/>
      <c r="K39" s="26"/>
    </row>
    <row r="40" spans="1:11" ht="35.049999999999997" customHeight="1" x14ac:dyDescent="0.3">
      <c r="A40" s="10" t="s">
        <v>684</v>
      </c>
      <c r="B40" s="392" t="s">
        <v>480</v>
      </c>
      <c r="C40" s="395">
        <v>0</v>
      </c>
      <c r="D40" s="501">
        <v>-8.0250000000000004</v>
      </c>
      <c r="E40" s="502">
        <v>-0.311</v>
      </c>
      <c r="F40" s="503">
        <v>-9.5000000000000001E-2</v>
      </c>
      <c r="G40" s="489">
        <v>0</v>
      </c>
      <c r="H40" s="490"/>
      <c r="I40" s="490"/>
      <c r="J40" s="499">
        <v>0.24099999999999999</v>
      </c>
      <c r="K40" s="26"/>
    </row>
    <row r="41" spans="1:11" ht="35.049999999999997" customHeight="1" x14ac:dyDescent="0.3">
      <c r="A41" s="10" t="s">
        <v>685</v>
      </c>
      <c r="B41" s="392" t="s">
        <v>480</v>
      </c>
      <c r="C41" s="395">
        <v>0</v>
      </c>
      <c r="D41" s="501">
        <v>-8.0250000000000004</v>
      </c>
      <c r="E41" s="502">
        <v>-0.311</v>
      </c>
      <c r="F41" s="503">
        <v>-9.5000000000000001E-2</v>
      </c>
      <c r="G41" s="489">
        <v>0</v>
      </c>
      <c r="H41" s="490"/>
      <c r="I41" s="490"/>
      <c r="J41" s="500"/>
      <c r="K41" s="26"/>
    </row>
    <row r="42" spans="1:11" ht="35.049999999999997" customHeight="1" x14ac:dyDescent="0.3">
      <c r="A42" s="10" t="s">
        <v>598</v>
      </c>
      <c r="B42" s="26" t="s">
        <v>1102</v>
      </c>
      <c r="C42" s="395">
        <v>0</v>
      </c>
      <c r="D42" s="501">
        <v>-5.5039999999999996</v>
      </c>
      <c r="E42" s="502">
        <v>-0.19500000000000001</v>
      </c>
      <c r="F42" s="503">
        <v>-5.5E-2</v>
      </c>
      <c r="G42" s="489">
        <v>10.72</v>
      </c>
      <c r="H42" s="490"/>
      <c r="I42" s="490"/>
      <c r="J42" s="499">
        <v>0.19400000000000001</v>
      </c>
      <c r="K42" s="26"/>
    </row>
    <row r="43" spans="1:11" ht="35.049999999999997" customHeight="1" x14ac:dyDescent="0.3">
      <c r="A43" s="10" t="s">
        <v>681</v>
      </c>
      <c r="B43" s="392" t="s">
        <v>480</v>
      </c>
      <c r="C43" s="395">
        <v>0</v>
      </c>
      <c r="D43" s="501">
        <v>-5.5039999999999996</v>
      </c>
      <c r="E43" s="502">
        <v>-0.19500000000000001</v>
      </c>
      <c r="F43" s="503">
        <v>-5.5E-2</v>
      </c>
      <c r="G43" s="489">
        <v>10.72</v>
      </c>
      <c r="H43" s="490"/>
      <c r="I43" s="490"/>
      <c r="J43" s="500"/>
      <c r="K43" s="26"/>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8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&amp;"Arial,Regular"Annex 1 -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O43"/>
  <sheetViews>
    <sheetView zoomScale="50" zoomScaleNormal="50" workbookViewId="0">
      <selection activeCell="B10" sqref="B10: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6" t="s">
        <v>19</v>
      </c>
      <c r="B1" s="45"/>
      <c r="C1" s="45"/>
      <c r="D1" s="45"/>
      <c r="E1" s="551" t="s">
        <v>463</v>
      </c>
      <c r="F1" s="551"/>
      <c r="G1" s="551"/>
      <c r="H1" s="551"/>
      <c r="I1" s="551"/>
      <c r="J1" s="551"/>
      <c r="K1" s="551"/>
      <c r="L1" s="251"/>
      <c r="M1" s="251"/>
      <c r="N1" s="251"/>
      <c r="O1" s="251"/>
    </row>
    <row r="2" spans="1:15" ht="40" customHeight="1" x14ac:dyDescent="0.3">
      <c r="A2" s="553" t="str">
        <f>Overview!B4&amp;" - Effective from "&amp;Overview!D4&amp;" - Final LV and HV charges in WPD South Wales Area (GSP Group _K)"</f>
        <v>Indigo Power Limited - Effective from 1 April 2023 - Final LV and HV charges in WPD South Wales Area (GSP Group _K)</v>
      </c>
      <c r="B2" s="554"/>
      <c r="C2" s="554"/>
      <c r="D2" s="554"/>
      <c r="E2" s="554"/>
      <c r="F2" s="554"/>
      <c r="G2" s="554"/>
      <c r="H2" s="554"/>
      <c r="I2" s="554"/>
      <c r="J2" s="554"/>
      <c r="K2" s="555"/>
      <c r="L2" s="252"/>
      <c r="M2" s="252"/>
      <c r="N2" s="253"/>
      <c r="O2" s="253"/>
    </row>
    <row r="3" spans="1:15" s="47" customFormat="1" ht="40" customHeight="1" x14ac:dyDescent="0.3">
      <c r="A3" s="45"/>
      <c r="B3" s="45"/>
      <c r="C3" s="45"/>
      <c r="D3" s="45"/>
      <c r="E3" s="45"/>
      <c r="F3" s="45"/>
      <c r="G3" s="45"/>
      <c r="H3" s="45"/>
      <c r="I3" s="45"/>
      <c r="J3" s="45"/>
      <c r="K3" s="45"/>
      <c r="L3" s="46"/>
      <c r="M3" s="46"/>
    </row>
    <row r="4" spans="1:15" ht="40" customHeight="1" x14ac:dyDescent="0.3">
      <c r="A4" s="553" t="s">
        <v>308</v>
      </c>
      <c r="B4" s="554"/>
      <c r="C4" s="554"/>
      <c r="D4" s="554"/>
      <c r="E4" s="555"/>
      <c r="F4" s="45"/>
      <c r="G4" s="553" t="s">
        <v>307</v>
      </c>
      <c r="H4" s="554"/>
      <c r="I4" s="554"/>
      <c r="J4" s="554"/>
      <c r="K4" s="555"/>
    </row>
    <row r="5" spans="1:15" ht="40" customHeight="1" x14ac:dyDescent="0.3">
      <c r="A5" s="470" t="s">
        <v>13</v>
      </c>
      <c r="B5" s="91" t="s">
        <v>299</v>
      </c>
      <c r="C5" s="579" t="s">
        <v>300</v>
      </c>
      <c r="D5" s="580"/>
      <c r="E5" s="92" t="s">
        <v>301</v>
      </c>
      <c r="F5" s="45"/>
      <c r="G5" s="581"/>
      <c r="H5" s="582"/>
      <c r="I5" s="93" t="s">
        <v>305</v>
      </c>
      <c r="J5" s="94" t="s">
        <v>306</v>
      </c>
      <c r="K5" s="92" t="s">
        <v>301</v>
      </c>
      <c r="L5" s="45"/>
      <c r="N5" s="3"/>
    </row>
    <row r="6" spans="1:15" ht="40" customHeight="1" x14ac:dyDescent="0.3">
      <c r="A6" s="469" t="s">
        <v>609</v>
      </c>
      <c r="B6" s="95" t="s">
        <v>658</v>
      </c>
      <c r="C6" s="583" t="s">
        <v>659</v>
      </c>
      <c r="D6" s="583" t="s">
        <v>603</v>
      </c>
      <c r="E6" s="96" t="s">
        <v>660</v>
      </c>
      <c r="F6" s="45" t="s">
        <v>603</v>
      </c>
      <c r="G6" s="584" t="s">
        <v>661</v>
      </c>
      <c r="H6" s="584" t="s">
        <v>603</v>
      </c>
      <c r="I6" s="95" t="s">
        <v>658</v>
      </c>
      <c r="J6" s="97" t="s">
        <v>659</v>
      </c>
      <c r="K6" s="97" t="s">
        <v>660</v>
      </c>
      <c r="L6" s="45"/>
      <c r="N6" s="3"/>
    </row>
    <row r="7" spans="1:15" ht="40" customHeight="1" x14ac:dyDescent="0.3">
      <c r="A7" s="469" t="s">
        <v>612</v>
      </c>
      <c r="B7" s="98" t="s">
        <v>603</v>
      </c>
      <c r="C7" s="585" t="s">
        <v>662</v>
      </c>
      <c r="D7" s="585" t="s">
        <v>603</v>
      </c>
      <c r="E7" s="97" t="s">
        <v>663</v>
      </c>
      <c r="F7" s="45" t="s">
        <v>603</v>
      </c>
      <c r="G7" s="584" t="s">
        <v>664</v>
      </c>
      <c r="H7" s="584" t="s">
        <v>603</v>
      </c>
      <c r="I7" s="98" t="s">
        <v>603</v>
      </c>
      <c r="J7" s="97" t="s">
        <v>665</v>
      </c>
      <c r="K7" s="97" t="s">
        <v>660</v>
      </c>
      <c r="L7" s="45"/>
      <c r="N7" s="3"/>
    </row>
    <row r="8" spans="1:15" ht="40" customHeight="1" x14ac:dyDescent="0.3">
      <c r="A8" s="340" t="s">
        <v>14</v>
      </c>
      <c r="B8" s="584" t="s">
        <v>15</v>
      </c>
      <c r="C8" s="584" t="s">
        <v>603</v>
      </c>
      <c r="D8" s="584" t="s">
        <v>603</v>
      </c>
      <c r="E8" s="584" t="s">
        <v>603</v>
      </c>
      <c r="F8" s="45" t="s">
        <v>603</v>
      </c>
      <c r="G8" s="584" t="s">
        <v>612</v>
      </c>
      <c r="H8" s="584" t="s">
        <v>603</v>
      </c>
      <c r="I8" s="98" t="s">
        <v>603</v>
      </c>
      <c r="J8" s="97" t="s">
        <v>662</v>
      </c>
      <c r="K8" s="97" t="s">
        <v>666</v>
      </c>
      <c r="L8" s="45"/>
      <c r="N8" s="3"/>
    </row>
    <row r="9" spans="1:15" s="41" customFormat="1" ht="40" customHeight="1" x14ac:dyDescent="0.3">
      <c r="A9" s="275" t="s">
        <v>603</v>
      </c>
      <c r="B9" s="275" t="s">
        <v>603</v>
      </c>
      <c r="C9" s="586" t="s">
        <v>603</v>
      </c>
      <c r="D9" s="586" t="s">
        <v>603</v>
      </c>
      <c r="E9" s="275" t="s">
        <v>603</v>
      </c>
      <c r="F9" s="45" t="s">
        <v>603</v>
      </c>
      <c r="G9" s="584" t="s">
        <v>14</v>
      </c>
      <c r="H9" s="584" t="s">
        <v>603</v>
      </c>
      <c r="I9" s="587" t="s">
        <v>15</v>
      </c>
      <c r="J9" s="588" t="s">
        <v>603</v>
      </c>
      <c r="K9" s="589" t="s">
        <v>603</v>
      </c>
      <c r="L9" s="45"/>
      <c r="M9" s="29"/>
      <c r="N9" s="29"/>
    </row>
    <row r="10" spans="1:15" s="47" customFormat="1" ht="40" customHeight="1" x14ac:dyDescent="0.3">
      <c r="A10" s="111"/>
      <c r="B10" s="571" t="s">
        <v>480</v>
      </c>
      <c r="C10" s="572"/>
      <c r="D10" s="572"/>
      <c r="E10" s="572"/>
      <c r="F10" s="45"/>
      <c r="G10" s="573"/>
      <c r="H10" s="573"/>
      <c r="I10" s="278"/>
      <c r="J10" s="278"/>
      <c r="K10" s="278"/>
      <c r="L10" s="45"/>
      <c r="M10" s="46"/>
      <c r="N10" s="46"/>
    </row>
    <row r="11" spans="1:15"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5" ht="35.049999999999997" customHeight="1" x14ac:dyDescent="0.3">
      <c r="A12" s="10" t="s">
        <v>570</v>
      </c>
      <c r="B12" s="387" t="s">
        <v>1103</v>
      </c>
      <c r="C12" s="434" t="s">
        <v>574</v>
      </c>
      <c r="D12" s="481">
        <v>11.186</v>
      </c>
      <c r="E12" s="478">
        <v>1.2250000000000001</v>
      </c>
      <c r="F12" s="479">
        <v>0.13400000000000001</v>
      </c>
      <c r="G12" s="480">
        <v>14.54</v>
      </c>
      <c r="H12" s="476">
        <v>0</v>
      </c>
      <c r="I12" s="476">
        <v>0</v>
      </c>
      <c r="J12" s="482">
        <v>0</v>
      </c>
      <c r="K12" s="26"/>
    </row>
    <row r="13" spans="1:15" ht="35.049999999999997" customHeight="1" x14ac:dyDescent="0.3">
      <c r="A13" s="10" t="s">
        <v>571</v>
      </c>
      <c r="B13" s="387" t="s">
        <v>1104</v>
      </c>
      <c r="C13" s="391" t="s">
        <v>575</v>
      </c>
      <c r="D13" s="481">
        <v>11.186</v>
      </c>
      <c r="E13" s="478">
        <v>1.2250000000000001</v>
      </c>
      <c r="F13" s="479">
        <v>0.13400000000000001</v>
      </c>
      <c r="G13" s="476">
        <v>0</v>
      </c>
      <c r="H13" s="476">
        <v>0</v>
      </c>
      <c r="I13" s="476">
        <v>0</v>
      </c>
      <c r="J13" s="482">
        <v>0</v>
      </c>
      <c r="K13" s="26"/>
    </row>
    <row r="14" spans="1:15" ht="35.049999999999997" customHeight="1" x14ac:dyDescent="0.3">
      <c r="A14" s="10" t="s">
        <v>745</v>
      </c>
      <c r="B14" s="387" t="s">
        <v>1105</v>
      </c>
      <c r="C14" s="436" t="s">
        <v>930</v>
      </c>
      <c r="D14" s="481">
        <v>10.092000000000001</v>
      </c>
      <c r="E14" s="478">
        <v>1.105</v>
      </c>
      <c r="F14" s="479">
        <v>0.121</v>
      </c>
      <c r="G14" s="480">
        <v>12.14</v>
      </c>
      <c r="H14" s="476">
        <v>0</v>
      </c>
      <c r="I14" s="476">
        <v>0</v>
      </c>
      <c r="J14" s="482">
        <v>0</v>
      </c>
      <c r="K14" s="26"/>
    </row>
    <row r="15" spans="1:15" ht="35.049999999999997" customHeight="1" x14ac:dyDescent="0.3">
      <c r="A15" s="10" t="s">
        <v>746</v>
      </c>
      <c r="B15" s="387" t="s">
        <v>1106</v>
      </c>
      <c r="C15" s="436" t="s">
        <v>930</v>
      </c>
      <c r="D15" s="481">
        <v>10.092000000000001</v>
      </c>
      <c r="E15" s="478">
        <v>1.105</v>
      </c>
      <c r="F15" s="479">
        <v>0.121</v>
      </c>
      <c r="G15" s="480">
        <v>16.11</v>
      </c>
      <c r="H15" s="476">
        <v>0</v>
      </c>
      <c r="I15" s="476">
        <v>0</v>
      </c>
      <c r="J15" s="482">
        <v>0</v>
      </c>
      <c r="K15" s="26"/>
    </row>
    <row r="16" spans="1:15" ht="35.049999999999997" customHeight="1" x14ac:dyDescent="0.3">
      <c r="A16" s="10" t="s">
        <v>747</v>
      </c>
      <c r="B16" s="27" t="s">
        <v>1107</v>
      </c>
      <c r="C16" s="436" t="s">
        <v>930</v>
      </c>
      <c r="D16" s="481">
        <v>10.092000000000001</v>
      </c>
      <c r="E16" s="478">
        <v>1.105</v>
      </c>
      <c r="F16" s="479">
        <v>0.121</v>
      </c>
      <c r="G16" s="480">
        <v>31.78</v>
      </c>
      <c r="H16" s="476">
        <v>0</v>
      </c>
      <c r="I16" s="476">
        <v>0</v>
      </c>
      <c r="J16" s="482">
        <v>0</v>
      </c>
      <c r="K16" s="26"/>
    </row>
    <row r="17" spans="1:11" ht="35.049999999999997" customHeight="1" x14ac:dyDescent="0.3">
      <c r="A17" s="10" t="s">
        <v>748</v>
      </c>
      <c r="B17" s="27" t="s">
        <v>1108</v>
      </c>
      <c r="C17" s="436" t="s">
        <v>930</v>
      </c>
      <c r="D17" s="481">
        <v>10.092000000000001</v>
      </c>
      <c r="E17" s="478">
        <v>1.105</v>
      </c>
      <c r="F17" s="479">
        <v>0.121</v>
      </c>
      <c r="G17" s="480">
        <v>59.98</v>
      </c>
      <c r="H17" s="476">
        <v>0</v>
      </c>
      <c r="I17" s="476">
        <v>0</v>
      </c>
      <c r="J17" s="482">
        <v>0</v>
      </c>
      <c r="K17" s="26"/>
    </row>
    <row r="18" spans="1:11" ht="35.049999999999997" customHeight="1" x14ac:dyDescent="0.3">
      <c r="A18" s="10" t="s">
        <v>749</v>
      </c>
      <c r="B18" s="27" t="s">
        <v>1109</v>
      </c>
      <c r="C18" s="436" t="s">
        <v>930</v>
      </c>
      <c r="D18" s="481">
        <v>10.092000000000001</v>
      </c>
      <c r="E18" s="478">
        <v>1.105</v>
      </c>
      <c r="F18" s="479">
        <v>0.121</v>
      </c>
      <c r="G18" s="480">
        <v>165.09</v>
      </c>
      <c r="H18" s="476">
        <v>0</v>
      </c>
      <c r="I18" s="476">
        <v>0</v>
      </c>
      <c r="J18" s="482">
        <v>0</v>
      </c>
      <c r="K18" s="26"/>
    </row>
    <row r="19" spans="1:11" ht="35.049999999999997" customHeight="1" x14ac:dyDescent="0.3">
      <c r="A19" s="10" t="s">
        <v>572</v>
      </c>
      <c r="B19" s="27" t="s">
        <v>1110</v>
      </c>
      <c r="C19" s="391" t="s">
        <v>577</v>
      </c>
      <c r="D19" s="481">
        <v>10.092000000000001</v>
      </c>
      <c r="E19" s="478">
        <v>1.105</v>
      </c>
      <c r="F19" s="479">
        <v>0.121</v>
      </c>
      <c r="G19" s="476">
        <v>0</v>
      </c>
      <c r="H19" s="476">
        <v>0</v>
      </c>
      <c r="I19" s="476">
        <v>0</v>
      </c>
      <c r="J19" s="482">
        <v>0</v>
      </c>
      <c r="K19" s="26"/>
    </row>
    <row r="20" spans="1:11" ht="35.049999999999997" customHeight="1" x14ac:dyDescent="0.3">
      <c r="A20" s="10" t="s">
        <v>750</v>
      </c>
      <c r="B20" s="24" t="s">
        <v>1215</v>
      </c>
      <c r="C20" s="395">
        <v>0</v>
      </c>
      <c r="D20" s="481">
        <v>7.72</v>
      </c>
      <c r="E20" s="478">
        <v>0.83199999999999996</v>
      </c>
      <c r="F20" s="479">
        <v>9.8000000000000004E-2</v>
      </c>
      <c r="G20" s="480">
        <v>18.170000000000002</v>
      </c>
      <c r="H20" s="480">
        <v>4.54</v>
      </c>
      <c r="I20" s="485">
        <v>8.4700000000000006</v>
      </c>
      <c r="J20" s="475">
        <v>0.17</v>
      </c>
      <c r="K20" s="26"/>
    </row>
    <row r="21" spans="1:11" ht="35.049999999999997" customHeight="1" x14ac:dyDescent="0.3">
      <c r="A21" s="10" t="s">
        <v>751</v>
      </c>
      <c r="B21" s="26" t="s">
        <v>1111</v>
      </c>
      <c r="C21" s="395">
        <v>0</v>
      </c>
      <c r="D21" s="481">
        <v>7.72</v>
      </c>
      <c r="E21" s="478">
        <v>0.83199999999999996</v>
      </c>
      <c r="F21" s="479">
        <v>9.8000000000000004E-2</v>
      </c>
      <c r="G21" s="480">
        <v>263.5</v>
      </c>
      <c r="H21" s="480">
        <v>4.54</v>
      </c>
      <c r="I21" s="485">
        <v>8.4700000000000006</v>
      </c>
      <c r="J21" s="475">
        <v>0.17</v>
      </c>
      <c r="K21" s="26"/>
    </row>
    <row r="22" spans="1:11" ht="35.049999999999997" customHeight="1" x14ac:dyDescent="0.3">
      <c r="A22" s="10" t="s">
        <v>752</v>
      </c>
      <c r="B22" s="26" t="s">
        <v>1112</v>
      </c>
      <c r="C22" s="395">
        <v>0</v>
      </c>
      <c r="D22" s="481">
        <v>7.72</v>
      </c>
      <c r="E22" s="478">
        <v>0.83199999999999996</v>
      </c>
      <c r="F22" s="479">
        <v>9.8000000000000004E-2</v>
      </c>
      <c r="G22" s="480">
        <v>509.48</v>
      </c>
      <c r="H22" s="480">
        <v>4.54</v>
      </c>
      <c r="I22" s="485">
        <v>8.4700000000000006</v>
      </c>
      <c r="J22" s="475">
        <v>0.17</v>
      </c>
      <c r="K22" s="26"/>
    </row>
    <row r="23" spans="1:11" ht="35.049999999999997" customHeight="1" x14ac:dyDescent="0.3">
      <c r="A23" s="10" t="s">
        <v>753</v>
      </c>
      <c r="B23" s="26" t="s">
        <v>1113</v>
      </c>
      <c r="C23" s="395">
        <v>0</v>
      </c>
      <c r="D23" s="481">
        <v>7.72</v>
      </c>
      <c r="E23" s="478">
        <v>0.83199999999999996</v>
      </c>
      <c r="F23" s="479">
        <v>9.8000000000000004E-2</v>
      </c>
      <c r="G23" s="480">
        <v>822.01</v>
      </c>
      <c r="H23" s="480">
        <v>4.54</v>
      </c>
      <c r="I23" s="485">
        <v>8.4700000000000006</v>
      </c>
      <c r="J23" s="475">
        <v>0.17</v>
      </c>
      <c r="K23" s="26"/>
    </row>
    <row r="24" spans="1:11" ht="35.049999999999997" customHeight="1" x14ac:dyDescent="0.3">
      <c r="A24" s="10" t="s">
        <v>754</v>
      </c>
      <c r="B24" s="26" t="s">
        <v>1114</v>
      </c>
      <c r="C24" s="395">
        <v>0</v>
      </c>
      <c r="D24" s="481">
        <v>7.72</v>
      </c>
      <c r="E24" s="478">
        <v>0.83199999999999996</v>
      </c>
      <c r="F24" s="479">
        <v>9.8000000000000004E-2</v>
      </c>
      <c r="G24" s="480">
        <v>1930.64</v>
      </c>
      <c r="H24" s="480">
        <v>4.54</v>
      </c>
      <c r="I24" s="485">
        <v>8.4700000000000006</v>
      </c>
      <c r="J24" s="475">
        <v>0.17</v>
      </c>
      <c r="K24" s="26"/>
    </row>
    <row r="25" spans="1:11" ht="35.049999999999997" customHeight="1" x14ac:dyDescent="0.3">
      <c r="A25" s="10" t="s">
        <v>755</v>
      </c>
      <c r="B25" s="392"/>
      <c r="C25" s="395">
        <v>0</v>
      </c>
      <c r="D25" s="481">
        <v>5.4279999999999999</v>
      </c>
      <c r="E25" s="478">
        <v>0.56200000000000006</v>
      </c>
      <c r="F25" s="479">
        <v>7.9000000000000001E-2</v>
      </c>
      <c r="G25" s="480">
        <v>14.23</v>
      </c>
      <c r="H25" s="480">
        <v>4.72</v>
      </c>
      <c r="I25" s="485">
        <v>7.9</v>
      </c>
      <c r="J25" s="475">
        <v>0.121</v>
      </c>
      <c r="K25" s="26"/>
    </row>
    <row r="26" spans="1:11" ht="35.049999999999997" customHeight="1" x14ac:dyDescent="0.3">
      <c r="A26" s="10" t="s">
        <v>756</v>
      </c>
      <c r="B26" s="392"/>
      <c r="C26" s="395">
        <v>0</v>
      </c>
      <c r="D26" s="481">
        <v>5.4279999999999999</v>
      </c>
      <c r="E26" s="478">
        <v>0.56200000000000006</v>
      </c>
      <c r="F26" s="479">
        <v>7.9000000000000001E-2</v>
      </c>
      <c r="G26" s="480">
        <v>259.55</v>
      </c>
      <c r="H26" s="480">
        <v>4.72</v>
      </c>
      <c r="I26" s="485">
        <v>7.9</v>
      </c>
      <c r="J26" s="475">
        <v>0.121</v>
      </c>
      <c r="K26" s="26"/>
    </row>
    <row r="27" spans="1:11" ht="35.049999999999997" customHeight="1" x14ac:dyDescent="0.3">
      <c r="A27" s="10" t="s">
        <v>757</v>
      </c>
      <c r="B27" s="392"/>
      <c r="C27" s="395">
        <v>0</v>
      </c>
      <c r="D27" s="481">
        <v>5.4279999999999999</v>
      </c>
      <c r="E27" s="478">
        <v>0.56200000000000006</v>
      </c>
      <c r="F27" s="479">
        <v>7.9000000000000001E-2</v>
      </c>
      <c r="G27" s="480">
        <v>505.54</v>
      </c>
      <c r="H27" s="480">
        <v>4.72</v>
      </c>
      <c r="I27" s="485">
        <v>7.9</v>
      </c>
      <c r="J27" s="475">
        <v>0.121</v>
      </c>
      <c r="K27" s="26"/>
    </row>
    <row r="28" spans="1:11" ht="35.049999999999997" customHeight="1" x14ac:dyDescent="0.3">
      <c r="A28" s="10" t="s">
        <v>758</v>
      </c>
      <c r="B28" s="392"/>
      <c r="C28" s="395">
        <v>0</v>
      </c>
      <c r="D28" s="481">
        <v>5.4279999999999999</v>
      </c>
      <c r="E28" s="478">
        <v>0.56200000000000006</v>
      </c>
      <c r="F28" s="479">
        <v>7.9000000000000001E-2</v>
      </c>
      <c r="G28" s="480">
        <v>818.06</v>
      </c>
      <c r="H28" s="480">
        <v>4.72</v>
      </c>
      <c r="I28" s="485">
        <v>7.9</v>
      </c>
      <c r="J28" s="475">
        <v>0.121</v>
      </c>
      <c r="K28" s="26"/>
    </row>
    <row r="29" spans="1:11" ht="35.049999999999997" customHeight="1" x14ac:dyDescent="0.3">
      <c r="A29" s="10" t="s">
        <v>759</v>
      </c>
      <c r="B29" s="392"/>
      <c r="C29" s="395">
        <v>0</v>
      </c>
      <c r="D29" s="481">
        <v>5.4279999999999999</v>
      </c>
      <c r="E29" s="478">
        <v>0.56200000000000006</v>
      </c>
      <c r="F29" s="479">
        <v>7.9000000000000001E-2</v>
      </c>
      <c r="G29" s="480">
        <v>1926.69</v>
      </c>
      <c r="H29" s="480">
        <v>4.72</v>
      </c>
      <c r="I29" s="485">
        <v>7.9</v>
      </c>
      <c r="J29" s="475">
        <v>0.121</v>
      </c>
      <c r="K29" s="26"/>
    </row>
    <row r="30" spans="1:11" ht="35.049999999999997" customHeight="1" x14ac:dyDescent="0.3">
      <c r="A30" s="10" t="s">
        <v>760</v>
      </c>
      <c r="B30" s="387" t="s">
        <v>1115</v>
      </c>
      <c r="C30" s="395">
        <v>0</v>
      </c>
      <c r="D30" s="481">
        <v>3.984</v>
      </c>
      <c r="E30" s="478">
        <v>0.4</v>
      </c>
      <c r="F30" s="479">
        <v>6.0999999999999999E-2</v>
      </c>
      <c r="G30" s="480">
        <v>129.81</v>
      </c>
      <c r="H30" s="480">
        <v>4.84</v>
      </c>
      <c r="I30" s="485">
        <v>8.41</v>
      </c>
      <c r="J30" s="475">
        <v>8.3000000000000004E-2</v>
      </c>
      <c r="K30" s="26"/>
    </row>
    <row r="31" spans="1:11" ht="35.049999999999997" customHeight="1" x14ac:dyDescent="0.3">
      <c r="A31" s="10" t="s">
        <v>761</v>
      </c>
      <c r="B31" s="26" t="s">
        <v>1116</v>
      </c>
      <c r="C31" s="395">
        <v>0</v>
      </c>
      <c r="D31" s="481">
        <v>3.984</v>
      </c>
      <c r="E31" s="478">
        <v>0.4</v>
      </c>
      <c r="F31" s="479">
        <v>6.0999999999999999E-2</v>
      </c>
      <c r="G31" s="480">
        <v>1363.13</v>
      </c>
      <c r="H31" s="480">
        <v>4.84</v>
      </c>
      <c r="I31" s="485">
        <v>8.41</v>
      </c>
      <c r="J31" s="475">
        <v>8.3000000000000004E-2</v>
      </c>
      <c r="K31" s="26"/>
    </row>
    <row r="32" spans="1:11" ht="35.049999999999997" customHeight="1" x14ac:dyDescent="0.3">
      <c r="A32" s="10" t="s">
        <v>762</v>
      </c>
      <c r="B32" s="26" t="s">
        <v>1117</v>
      </c>
      <c r="C32" s="395">
        <v>0</v>
      </c>
      <c r="D32" s="481">
        <v>3.984</v>
      </c>
      <c r="E32" s="478">
        <v>0.4</v>
      </c>
      <c r="F32" s="479">
        <v>6.0999999999999999E-2</v>
      </c>
      <c r="G32" s="480">
        <v>4661.6099999999997</v>
      </c>
      <c r="H32" s="480">
        <v>4.84</v>
      </c>
      <c r="I32" s="485">
        <v>8.41</v>
      </c>
      <c r="J32" s="475">
        <v>8.3000000000000004E-2</v>
      </c>
      <c r="K32" s="26"/>
    </row>
    <row r="33" spans="1:11" ht="35.049999999999997" customHeight="1" x14ac:dyDescent="0.3">
      <c r="A33" s="10" t="s">
        <v>763</v>
      </c>
      <c r="B33" s="26" t="s">
        <v>1118</v>
      </c>
      <c r="C33" s="395">
        <v>0</v>
      </c>
      <c r="D33" s="481">
        <v>3.984</v>
      </c>
      <c r="E33" s="478">
        <v>0.4</v>
      </c>
      <c r="F33" s="479">
        <v>6.0999999999999999E-2</v>
      </c>
      <c r="G33" s="480">
        <v>9436.27</v>
      </c>
      <c r="H33" s="480">
        <v>4.84</v>
      </c>
      <c r="I33" s="485">
        <v>8.41</v>
      </c>
      <c r="J33" s="475">
        <v>8.3000000000000004E-2</v>
      </c>
      <c r="K33" s="26"/>
    </row>
    <row r="34" spans="1:11" ht="35.049999999999997" customHeight="1" x14ac:dyDescent="0.3">
      <c r="A34" s="10" t="s">
        <v>764</v>
      </c>
      <c r="B34" s="26" t="s">
        <v>1119</v>
      </c>
      <c r="C34" s="395">
        <v>0</v>
      </c>
      <c r="D34" s="481">
        <v>3.984</v>
      </c>
      <c r="E34" s="478">
        <v>0.4</v>
      </c>
      <c r="F34" s="479">
        <v>6.0999999999999999E-2</v>
      </c>
      <c r="G34" s="480">
        <v>20912.8</v>
      </c>
      <c r="H34" s="480">
        <v>4.84</v>
      </c>
      <c r="I34" s="485">
        <v>8.41</v>
      </c>
      <c r="J34" s="475">
        <v>8.3000000000000004E-2</v>
      </c>
      <c r="K34" s="26"/>
    </row>
    <row r="35" spans="1:11" ht="35.049999999999997" customHeight="1" x14ac:dyDescent="0.3">
      <c r="A35" s="10" t="s">
        <v>573</v>
      </c>
      <c r="B35" s="387" t="s">
        <v>1120</v>
      </c>
      <c r="C35" s="395" t="s">
        <v>616</v>
      </c>
      <c r="D35" s="477">
        <v>26.841999999999999</v>
      </c>
      <c r="E35" s="483">
        <v>3.2029999999999998</v>
      </c>
      <c r="F35" s="479">
        <v>2.3050000000000002</v>
      </c>
      <c r="G35" s="476">
        <v>0</v>
      </c>
      <c r="H35" s="476">
        <v>0</v>
      </c>
      <c r="I35" s="476">
        <v>0</v>
      </c>
      <c r="J35" s="482">
        <v>0</v>
      </c>
      <c r="K35" s="26"/>
    </row>
    <row r="36" spans="1:11" ht="35.049999999999997" customHeight="1" x14ac:dyDescent="0.3">
      <c r="A36" s="10" t="s">
        <v>617</v>
      </c>
      <c r="B36" s="27" t="s">
        <v>1121</v>
      </c>
      <c r="C36" s="435">
        <v>0</v>
      </c>
      <c r="D36" s="481">
        <v>-7.4669999999999996</v>
      </c>
      <c r="E36" s="478">
        <v>-0.81699999999999995</v>
      </c>
      <c r="F36" s="479">
        <v>-8.8999999999999996E-2</v>
      </c>
      <c r="G36" s="508">
        <v>0</v>
      </c>
      <c r="H36" s="476">
        <v>0</v>
      </c>
      <c r="I36" s="476">
        <v>0</v>
      </c>
      <c r="J36" s="482">
        <v>0</v>
      </c>
      <c r="K36" s="26"/>
    </row>
    <row r="37" spans="1:11" ht="35.049999999999997" customHeight="1" x14ac:dyDescent="0.3">
      <c r="A37" s="10" t="s">
        <v>682</v>
      </c>
      <c r="B37" s="392"/>
      <c r="C37" s="395">
        <v>0</v>
      </c>
      <c r="D37" s="481">
        <v>-6.774</v>
      </c>
      <c r="E37" s="478">
        <v>-0.73499999999999999</v>
      </c>
      <c r="F37" s="479">
        <v>-8.4000000000000005E-2</v>
      </c>
      <c r="G37" s="508">
        <v>0</v>
      </c>
      <c r="H37" s="476">
        <v>0</v>
      </c>
      <c r="I37" s="476">
        <v>0</v>
      </c>
      <c r="J37" s="482">
        <v>0</v>
      </c>
      <c r="K37" s="26"/>
    </row>
    <row r="38" spans="1:11" ht="35.049999999999997" customHeight="1" x14ac:dyDescent="0.3">
      <c r="A38" s="10" t="s">
        <v>597</v>
      </c>
      <c r="B38" s="27" t="s">
        <v>1122</v>
      </c>
      <c r="C38" s="395">
        <v>0</v>
      </c>
      <c r="D38" s="481">
        <v>-7.4669999999999996</v>
      </c>
      <c r="E38" s="478">
        <v>-0.81699999999999995</v>
      </c>
      <c r="F38" s="479">
        <v>-8.8999999999999996E-2</v>
      </c>
      <c r="G38" s="508">
        <v>0</v>
      </c>
      <c r="H38" s="476">
        <v>0</v>
      </c>
      <c r="I38" s="476">
        <v>0</v>
      </c>
      <c r="J38" s="475">
        <v>0.19</v>
      </c>
      <c r="K38" s="26"/>
    </row>
    <row r="39" spans="1:11" ht="35.049999999999997" customHeight="1" x14ac:dyDescent="0.3">
      <c r="A39" s="10" t="s">
        <v>683</v>
      </c>
      <c r="B39" s="392"/>
      <c r="C39" s="395">
        <v>0</v>
      </c>
      <c r="D39" s="481">
        <v>-7.4669999999999996</v>
      </c>
      <c r="E39" s="478">
        <v>-0.81699999999999995</v>
      </c>
      <c r="F39" s="479">
        <v>-8.8999999999999996E-2</v>
      </c>
      <c r="G39" s="508">
        <v>0</v>
      </c>
      <c r="H39" s="476">
        <v>0</v>
      </c>
      <c r="I39" s="476">
        <v>0</v>
      </c>
      <c r="J39" s="482">
        <v>0</v>
      </c>
      <c r="K39" s="26"/>
    </row>
    <row r="40" spans="1:11" ht="35.049999999999997" customHeight="1" x14ac:dyDescent="0.3">
      <c r="A40" s="10" t="s">
        <v>684</v>
      </c>
      <c r="B40" s="392"/>
      <c r="C40" s="395">
        <v>0</v>
      </c>
      <c r="D40" s="481">
        <v>-6.774</v>
      </c>
      <c r="E40" s="478">
        <v>-0.73499999999999999</v>
      </c>
      <c r="F40" s="479">
        <v>-8.4000000000000005E-2</v>
      </c>
      <c r="G40" s="508">
        <v>0</v>
      </c>
      <c r="H40" s="476">
        <v>0</v>
      </c>
      <c r="I40" s="476">
        <v>0</v>
      </c>
      <c r="J40" s="475">
        <v>0.155</v>
      </c>
      <c r="K40" s="26"/>
    </row>
    <row r="41" spans="1:11" ht="35.049999999999997" customHeight="1" x14ac:dyDescent="0.3">
      <c r="A41" s="10" t="s">
        <v>685</v>
      </c>
      <c r="B41" s="392"/>
      <c r="C41" s="395">
        <v>0</v>
      </c>
      <c r="D41" s="481">
        <v>-6.774</v>
      </c>
      <c r="E41" s="478">
        <v>-0.73499999999999999</v>
      </c>
      <c r="F41" s="479">
        <v>-8.4000000000000005E-2</v>
      </c>
      <c r="G41" s="508">
        <v>0</v>
      </c>
      <c r="H41" s="476">
        <v>0</v>
      </c>
      <c r="I41" s="476">
        <v>0</v>
      </c>
      <c r="J41" s="482">
        <v>0</v>
      </c>
      <c r="K41" s="26"/>
    </row>
    <row r="42" spans="1:11" ht="35.049999999999997" customHeight="1" x14ac:dyDescent="0.3">
      <c r="A42" s="10" t="s">
        <v>598</v>
      </c>
      <c r="B42" s="26" t="s">
        <v>1123</v>
      </c>
      <c r="C42" s="395">
        <v>0</v>
      </c>
      <c r="D42" s="481">
        <v>-4.3579999999999997</v>
      </c>
      <c r="E42" s="478">
        <v>-0.44800000000000001</v>
      </c>
      <c r="F42" s="479">
        <v>-6.4000000000000001E-2</v>
      </c>
      <c r="G42" s="480">
        <v>81.12</v>
      </c>
      <c r="H42" s="476">
        <v>0</v>
      </c>
      <c r="I42" s="476">
        <v>0</v>
      </c>
      <c r="J42" s="475">
        <v>0.129</v>
      </c>
      <c r="K42" s="26"/>
    </row>
    <row r="43" spans="1:11" ht="35.049999999999997" customHeight="1" x14ac:dyDescent="0.3">
      <c r="A43" s="10" t="s">
        <v>681</v>
      </c>
      <c r="B43" s="392"/>
      <c r="C43" s="395">
        <v>0</v>
      </c>
      <c r="D43" s="481">
        <v>-4.3579999999999997</v>
      </c>
      <c r="E43" s="478">
        <v>-0.44800000000000001</v>
      </c>
      <c r="F43" s="479">
        <v>-6.4000000000000001E-2</v>
      </c>
      <c r="G43" s="480">
        <v>81.12</v>
      </c>
      <c r="H43" s="476">
        <v>0</v>
      </c>
      <c r="I43" s="476">
        <v>0</v>
      </c>
      <c r="J43" s="482">
        <v>0</v>
      </c>
      <c r="K43" s="26"/>
    </row>
  </sheetData>
  <mergeCells count="17">
    <mergeCell ref="C9:D9"/>
    <mergeCell ref="G9:H9"/>
    <mergeCell ref="I9:K9"/>
    <mergeCell ref="B10:E10"/>
    <mergeCell ref="G10:H10"/>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45"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O43"/>
  <sheetViews>
    <sheetView zoomScale="50" zoomScaleNormal="50" workbookViewId="0">
      <selection activeCell="B10" sqref="B10: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6" t="s">
        <v>19</v>
      </c>
      <c r="B1" s="45"/>
      <c r="C1" s="45"/>
      <c r="D1" s="45"/>
      <c r="E1" s="551" t="s">
        <v>463</v>
      </c>
      <c r="F1" s="551"/>
      <c r="G1" s="551"/>
      <c r="H1" s="551"/>
      <c r="I1" s="551"/>
      <c r="J1" s="551"/>
      <c r="K1" s="551"/>
      <c r="L1" s="251"/>
      <c r="M1" s="251"/>
      <c r="N1" s="251"/>
      <c r="O1" s="251"/>
    </row>
    <row r="2" spans="1:15" ht="40" customHeight="1" x14ac:dyDescent="0.3">
      <c r="A2" s="552" t="str">
        <f>Overview!B4&amp;" - Effective from "&amp;Overview!D4&amp;" - Final LV and HV charges in WPD South West Area (GSP Group _L)"</f>
        <v>Indigo Power Limited - Effective from 1 April 2023 - Final LV and HV charges in WPD South West Area (GSP Group _L)</v>
      </c>
      <c r="B2" s="552"/>
      <c r="C2" s="552"/>
      <c r="D2" s="552"/>
      <c r="E2" s="552"/>
      <c r="F2" s="552"/>
      <c r="G2" s="552"/>
      <c r="H2" s="552"/>
      <c r="I2" s="552"/>
      <c r="J2" s="552"/>
      <c r="K2" s="552"/>
      <c r="L2" s="252"/>
      <c r="M2" s="252"/>
      <c r="N2" s="253"/>
      <c r="O2" s="253"/>
    </row>
    <row r="3" spans="1:15" s="47" customFormat="1" ht="40" customHeight="1" x14ac:dyDescent="0.3">
      <c r="A3" s="45"/>
      <c r="B3" s="45"/>
      <c r="C3" s="45"/>
      <c r="D3" s="45"/>
      <c r="E3" s="45"/>
      <c r="F3" s="45"/>
      <c r="G3" s="45"/>
      <c r="H3" s="45"/>
      <c r="I3" s="45"/>
      <c r="J3" s="45"/>
      <c r="K3" s="45"/>
      <c r="L3" s="46"/>
      <c r="M3" s="46"/>
    </row>
    <row r="4" spans="1:15" ht="40" customHeight="1" x14ac:dyDescent="0.3">
      <c r="A4" s="553" t="s">
        <v>308</v>
      </c>
      <c r="B4" s="554"/>
      <c r="C4" s="554"/>
      <c r="D4" s="554"/>
      <c r="E4" s="555"/>
      <c r="F4" s="45"/>
      <c r="G4" s="553" t="s">
        <v>307</v>
      </c>
      <c r="H4" s="554"/>
      <c r="I4" s="554"/>
      <c r="J4" s="554"/>
      <c r="K4" s="555"/>
    </row>
    <row r="5" spans="1:15" ht="40" customHeight="1" x14ac:dyDescent="0.3">
      <c r="A5" s="470" t="s">
        <v>13</v>
      </c>
      <c r="B5" s="91" t="s">
        <v>299</v>
      </c>
      <c r="C5" s="579" t="s">
        <v>300</v>
      </c>
      <c r="D5" s="580"/>
      <c r="E5" s="92" t="s">
        <v>301</v>
      </c>
      <c r="F5" s="45"/>
      <c r="G5" s="581"/>
      <c r="H5" s="582"/>
      <c r="I5" s="93" t="s">
        <v>305</v>
      </c>
      <c r="J5" s="94" t="s">
        <v>306</v>
      </c>
      <c r="K5" s="92" t="s">
        <v>301</v>
      </c>
      <c r="L5" s="45"/>
      <c r="N5" s="3"/>
    </row>
    <row r="6" spans="1:15" ht="40" customHeight="1" x14ac:dyDescent="0.3">
      <c r="A6" s="105" t="s">
        <v>609</v>
      </c>
      <c r="B6" s="13" t="s">
        <v>667</v>
      </c>
      <c r="C6" s="568" t="s">
        <v>668</v>
      </c>
      <c r="D6" s="568" t="s">
        <v>603</v>
      </c>
      <c r="E6" s="86" t="s">
        <v>669</v>
      </c>
      <c r="F6" s="45" t="s">
        <v>603</v>
      </c>
      <c r="G6" s="569" t="s">
        <v>670</v>
      </c>
      <c r="H6" s="569" t="s">
        <v>603</v>
      </c>
      <c r="I6" s="13" t="s">
        <v>671</v>
      </c>
      <c r="J6" s="279" t="s">
        <v>668</v>
      </c>
      <c r="K6" s="279" t="s">
        <v>669</v>
      </c>
      <c r="L6" s="45"/>
      <c r="N6" s="3"/>
    </row>
    <row r="7" spans="1:15" ht="40" customHeight="1" x14ac:dyDescent="0.3">
      <c r="A7" s="105" t="s">
        <v>612</v>
      </c>
      <c r="B7" s="274" t="s">
        <v>603</v>
      </c>
      <c r="C7" s="576" t="s">
        <v>672</v>
      </c>
      <c r="D7" s="576" t="s">
        <v>603</v>
      </c>
      <c r="E7" s="279" t="s">
        <v>673</v>
      </c>
      <c r="F7" s="45" t="s">
        <v>603</v>
      </c>
      <c r="G7" s="569" t="s">
        <v>674</v>
      </c>
      <c r="H7" s="569" t="s">
        <v>603</v>
      </c>
      <c r="I7" s="274" t="s">
        <v>603</v>
      </c>
      <c r="J7" s="279" t="s">
        <v>675</v>
      </c>
      <c r="K7" s="279" t="s">
        <v>669</v>
      </c>
      <c r="L7" s="45"/>
      <c r="N7" s="3"/>
    </row>
    <row r="8" spans="1:15" ht="40" customHeight="1" x14ac:dyDescent="0.3">
      <c r="A8" s="340" t="s">
        <v>14</v>
      </c>
      <c r="B8" s="584" t="s">
        <v>15</v>
      </c>
      <c r="C8" s="584" t="s">
        <v>603</v>
      </c>
      <c r="D8" s="584" t="s">
        <v>603</v>
      </c>
      <c r="E8" s="584" t="s">
        <v>603</v>
      </c>
      <c r="F8" s="45" t="s">
        <v>603</v>
      </c>
      <c r="G8" s="569" t="s">
        <v>612</v>
      </c>
      <c r="H8" s="569" t="s">
        <v>603</v>
      </c>
      <c r="I8" s="274" t="s">
        <v>603</v>
      </c>
      <c r="J8" s="279" t="s">
        <v>672</v>
      </c>
      <c r="K8" s="279" t="s">
        <v>673</v>
      </c>
      <c r="L8" s="45"/>
      <c r="N8" s="3"/>
    </row>
    <row r="9" spans="1:15" s="41" customFormat="1" ht="40" customHeight="1" x14ac:dyDescent="0.3">
      <c r="A9" s="275" t="s">
        <v>603</v>
      </c>
      <c r="B9" s="275" t="s">
        <v>603</v>
      </c>
      <c r="C9" s="586" t="s">
        <v>603</v>
      </c>
      <c r="D9" s="586" t="s">
        <v>603</v>
      </c>
      <c r="E9" s="275" t="s">
        <v>603</v>
      </c>
      <c r="F9" s="45" t="s">
        <v>603</v>
      </c>
      <c r="G9" s="584" t="s">
        <v>14</v>
      </c>
      <c r="H9" s="584" t="s">
        <v>603</v>
      </c>
      <c r="I9" s="587" t="s">
        <v>15</v>
      </c>
      <c r="J9" s="588" t="s">
        <v>603</v>
      </c>
      <c r="K9" s="589" t="s">
        <v>603</v>
      </c>
      <c r="L9" s="45"/>
      <c r="M9" s="29"/>
      <c r="N9" s="29"/>
    </row>
    <row r="10" spans="1:15" s="47" customFormat="1" ht="40" customHeight="1" x14ac:dyDescent="0.3">
      <c r="A10" s="111"/>
      <c r="B10" s="571" t="s">
        <v>480</v>
      </c>
      <c r="C10" s="572"/>
      <c r="D10" s="572"/>
      <c r="E10" s="572"/>
      <c r="F10" s="45"/>
      <c r="G10" s="573"/>
      <c r="H10" s="573"/>
      <c r="I10" s="278"/>
      <c r="J10" s="278"/>
      <c r="K10" s="278"/>
      <c r="L10" s="45"/>
      <c r="M10" s="46"/>
      <c r="N10" s="46"/>
    </row>
    <row r="11" spans="1:15"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5" ht="35.049999999999997" customHeight="1" x14ac:dyDescent="0.3">
      <c r="A12" s="10" t="s">
        <v>570</v>
      </c>
      <c r="B12" s="387" t="s">
        <v>1124</v>
      </c>
      <c r="C12" s="375" t="s">
        <v>574</v>
      </c>
      <c r="D12" s="481">
        <v>16.367000000000001</v>
      </c>
      <c r="E12" s="478">
        <v>0.70799999999999996</v>
      </c>
      <c r="F12" s="479">
        <v>4.3999999999999997E-2</v>
      </c>
      <c r="G12" s="480">
        <v>18.68</v>
      </c>
      <c r="H12" s="476">
        <v>0</v>
      </c>
      <c r="I12" s="476">
        <v>0</v>
      </c>
      <c r="J12" s="482">
        <v>0</v>
      </c>
      <c r="K12" s="26"/>
    </row>
    <row r="13" spans="1:15" ht="35.049999999999997" customHeight="1" x14ac:dyDescent="0.3">
      <c r="A13" s="10" t="s">
        <v>571</v>
      </c>
      <c r="B13" s="387" t="s">
        <v>1125</v>
      </c>
      <c r="C13" s="375" t="s">
        <v>575</v>
      </c>
      <c r="D13" s="481">
        <v>16.367000000000001</v>
      </c>
      <c r="E13" s="478">
        <v>0.70799999999999996</v>
      </c>
      <c r="F13" s="479">
        <v>4.3999999999999997E-2</v>
      </c>
      <c r="G13" s="476">
        <v>0</v>
      </c>
      <c r="H13" s="476">
        <v>0</v>
      </c>
      <c r="I13" s="476">
        <v>0</v>
      </c>
      <c r="J13" s="482">
        <v>0</v>
      </c>
      <c r="K13" s="26"/>
    </row>
    <row r="14" spans="1:15" ht="35.049999999999997" customHeight="1" x14ac:dyDescent="0.3">
      <c r="A14" s="10" t="s">
        <v>745</v>
      </c>
      <c r="B14" s="387" t="s">
        <v>1126</v>
      </c>
      <c r="C14" s="375" t="s">
        <v>576</v>
      </c>
      <c r="D14" s="481">
        <v>15.644</v>
      </c>
      <c r="E14" s="478">
        <v>0.67700000000000005</v>
      </c>
      <c r="F14" s="479">
        <v>4.2000000000000003E-2</v>
      </c>
      <c r="G14" s="480">
        <v>12.19</v>
      </c>
      <c r="H14" s="476">
        <v>0</v>
      </c>
      <c r="I14" s="476">
        <v>0</v>
      </c>
      <c r="J14" s="482">
        <v>0</v>
      </c>
      <c r="K14" s="26"/>
    </row>
    <row r="15" spans="1:15" ht="35.049999999999997" customHeight="1" x14ac:dyDescent="0.3">
      <c r="A15" s="10" t="s">
        <v>746</v>
      </c>
      <c r="B15" s="387" t="s">
        <v>1127</v>
      </c>
      <c r="C15" s="436" t="s">
        <v>930</v>
      </c>
      <c r="D15" s="481">
        <v>15.644</v>
      </c>
      <c r="E15" s="478">
        <v>0.67700000000000005</v>
      </c>
      <c r="F15" s="479">
        <v>4.2000000000000003E-2</v>
      </c>
      <c r="G15" s="480">
        <v>17.079999999999998</v>
      </c>
      <c r="H15" s="476">
        <v>0</v>
      </c>
      <c r="I15" s="476">
        <v>0</v>
      </c>
      <c r="J15" s="482">
        <v>0</v>
      </c>
      <c r="K15" s="26"/>
    </row>
    <row r="16" spans="1:15" ht="35.049999999999997" customHeight="1" x14ac:dyDescent="0.3">
      <c r="A16" s="10" t="s">
        <v>747</v>
      </c>
      <c r="B16" s="27" t="s">
        <v>1128</v>
      </c>
      <c r="C16" s="436" t="s">
        <v>930</v>
      </c>
      <c r="D16" s="481">
        <v>15.644</v>
      </c>
      <c r="E16" s="478">
        <v>0.67700000000000005</v>
      </c>
      <c r="F16" s="479">
        <v>4.2000000000000003E-2</v>
      </c>
      <c r="G16" s="480">
        <v>38.159999999999997</v>
      </c>
      <c r="H16" s="476">
        <v>0</v>
      </c>
      <c r="I16" s="476">
        <v>0</v>
      </c>
      <c r="J16" s="482">
        <v>0</v>
      </c>
      <c r="K16" s="26"/>
    </row>
    <row r="17" spans="1:11" ht="35.049999999999997" customHeight="1" x14ac:dyDescent="0.3">
      <c r="A17" s="10" t="s">
        <v>748</v>
      </c>
      <c r="B17" s="27" t="s">
        <v>1129</v>
      </c>
      <c r="C17" s="436" t="s">
        <v>930</v>
      </c>
      <c r="D17" s="481">
        <v>15.644</v>
      </c>
      <c r="E17" s="478">
        <v>0.67700000000000005</v>
      </c>
      <c r="F17" s="479">
        <v>4.2000000000000003E-2</v>
      </c>
      <c r="G17" s="480">
        <v>73.45</v>
      </c>
      <c r="H17" s="476">
        <v>0</v>
      </c>
      <c r="I17" s="476">
        <v>0</v>
      </c>
      <c r="J17" s="482">
        <v>0</v>
      </c>
      <c r="K17" s="26"/>
    </row>
    <row r="18" spans="1:11" ht="35.049999999999997" customHeight="1" x14ac:dyDescent="0.3">
      <c r="A18" s="10" t="s">
        <v>749</v>
      </c>
      <c r="B18" s="27" t="s">
        <v>1130</v>
      </c>
      <c r="C18" s="436" t="s">
        <v>930</v>
      </c>
      <c r="D18" s="481">
        <v>15.644</v>
      </c>
      <c r="E18" s="478">
        <v>0.67700000000000005</v>
      </c>
      <c r="F18" s="479">
        <v>4.2000000000000003E-2</v>
      </c>
      <c r="G18" s="480">
        <v>213.58</v>
      </c>
      <c r="H18" s="476">
        <v>0</v>
      </c>
      <c r="I18" s="476">
        <v>0</v>
      </c>
      <c r="J18" s="482">
        <v>0</v>
      </c>
      <c r="K18" s="26"/>
    </row>
    <row r="19" spans="1:11" ht="35.049999999999997" customHeight="1" x14ac:dyDescent="0.3">
      <c r="A19" s="10" t="s">
        <v>572</v>
      </c>
      <c r="B19" s="27" t="s">
        <v>1131</v>
      </c>
      <c r="C19" s="391" t="s">
        <v>577</v>
      </c>
      <c r="D19" s="481">
        <v>15.644</v>
      </c>
      <c r="E19" s="478">
        <v>0.67700000000000005</v>
      </c>
      <c r="F19" s="479">
        <v>4.2000000000000003E-2</v>
      </c>
      <c r="G19" s="476">
        <v>0</v>
      </c>
      <c r="H19" s="476">
        <v>0</v>
      </c>
      <c r="I19" s="476">
        <v>0</v>
      </c>
      <c r="J19" s="482">
        <v>0</v>
      </c>
      <c r="K19" s="26"/>
    </row>
    <row r="20" spans="1:11" ht="35.049999999999997" customHeight="1" x14ac:dyDescent="0.3">
      <c r="A20" s="10" t="s">
        <v>750</v>
      </c>
      <c r="B20" s="24" t="s">
        <v>1216</v>
      </c>
      <c r="C20" s="395">
        <v>0</v>
      </c>
      <c r="D20" s="481">
        <v>11.385</v>
      </c>
      <c r="E20" s="478">
        <v>0.44400000000000001</v>
      </c>
      <c r="F20" s="479">
        <v>2.5999999999999999E-2</v>
      </c>
      <c r="G20" s="480">
        <v>16.3</v>
      </c>
      <c r="H20" s="480">
        <v>4.7300000000000004</v>
      </c>
      <c r="I20" s="485">
        <v>9.3800000000000008</v>
      </c>
      <c r="J20" s="475">
        <v>0.125</v>
      </c>
      <c r="K20" s="26"/>
    </row>
    <row r="21" spans="1:11" ht="35.049999999999997" customHeight="1" x14ac:dyDescent="0.3">
      <c r="A21" s="10" t="s">
        <v>751</v>
      </c>
      <c r="B21" s="26" t="s">
        <v>1132</v>
      </c>
      <c r="C21" s="395">
        <v>0</v>
      </c>
      <c r="D21" s="481">
        <v>11.385</v>
      </c>
      <c r="E21" s="478">
        <v>0.44400000000000001</v>
      </c>
      <c r="F21" s="479">
        <v>2.5999999999999999E-2</v>
      </c>
      <c r="G21" s="480">
        <v>337.23</v>
      </c>
      <c r="H21" s="480">
        <v>4.7300000000000004</v>
      </c>
      <c r="I21" s="485">
        <v>9.3800000000000008</v>
      </c>
      <c r="J21" s="475">
        <v>0.125</v>
      </c>
      <c r="K21" s="26"/>
    </row>
    <row r="22" spans="1:11" ht="35.049999999999997" customHeight="1" x14ac:dyDescent="0.3">
      <c r="A22" s="10" t="s">
        <v>752</v>
      </c>
      <c r="B22" s="26" t="s">
        <v>1133</v>
      </c>
      <c r="C22" s="395">
        <v>0</v>
      </c>
      <c r="D22" s="481">
        <v>11.385</v>
      </c>
      <c r="E22" s="478">
        <v>0.44400000000000001</v>
      </c>
      <c r="F22" s="479">
        <v>2.5999999999999999E-2</v>
      </c>
      <c r="G22" s="480">
        <v>615.73</v>
      </c>
      <c r="H22" s="480">
        <v>4.7300000000000004</v>
      </c>
      <c r="I22" s="485">
        <v>9.3800000000000008</v>
      </c>
      <c r="J22" s="475">
        <v>0.125</v>
      </c>
      <c r="K22" s="26"/>
    </row>
    <row r="23" spans="1:11" ht="35.049999999999997" customHeight="1" x14ac:dyDescent="0.3">
      <c r="A23" s="10" t="s">
        <v>753</v>
      </c>
      <c r="B23" s="26" t="s">
        <v>1134</v>
      </c>
      <c r="C23" s="395">
        <v>0</v>
      </c>
      <c r="D23" s="481">
        <v>11.385</v>
      </c>
      <c r="E23" s="478">
        <v>0.44400000000000001</v>
      </c>
      <c r="F23" s="479">
        <v>2.5999999999999999E-2</v>
      </c>
      <c r="G23" s="480">
        <v>943.33</v>
      </c>
      <c r="H23" s="480">
        <v>4.7300000000000004</v>
      </c>
      <c r="I23" s="485">
        <v>9.3800000000000008</v>
      </c>
      <c r="J23" s="475">
        <v>0.125</v>
      </c>
      <c r="K23" s="26"/>
    </row>
    <row r="24" spans="1:11" ht="35.049999999999997" customHeight="1" x14ac:dyDescent="0.3">
      <c r="A24" s="10" t="s">
        <v>754</v>
      </c>
      <c r="B24" s="26" t="s">
        <v>1135</v>
      </c>
      <c r="C24" s="395">
        <v>0</v>
      </c>
      <c r="D24" s="481">
        <v>11.385</v>
      </c>
      <c r="E24" s="478">
        <v>0.44400000000000001</v>
      </c>
      <c r="F24" s="479">
        <v>2.5999999999999999E-2</v>
      </c>
      <c r="G24" s="480">
        <v>2012</v>
      </c>
      <c r="H24" s="480">
        <v>4.7300000000000004</v>
      </c>
      <c r="I24" s="485">
        <v>9.3800000000000008</v>
      </c>
      <c r="J24" s="475">
        <v>0.125</v>
      </c>
      <c r="K24" s="26"/>
    </row>
    <row r="25" spans="1:11" ht="35.049999999999997" customHeight="1" x14ac:dyDescent="0.3">
      <c r="A25" s="10" t="s">
        <v>755</v>
      </c>
      <c r="B25" s="392"/>
      <c r="C25" s="395">
        <v>0</v>
      </c>
      <c r="D25" s="481">
        <v>7.6479999999999997</v>
      </c>
      <c r="E25" s="478">
        <v>0.22600000000000001</v>
      </c>
      <c r="F25" s="479">
        <v>1.0999999999999999E-2</v>
      </c>
      <c r="G25" s="480">
        <v>12.79</v>
      </c>
      <c r="H25" s="480">
        <v>4.3099999999999996</v>
      </c>
      <c r="I25" s="485">
        <v>7.86</v>
      </c>
      <c r="J25" s="475">
        <v>8.2000000000000003E-2</v>
      </c>
      <c r="K25" s="26"/>
    </row>
    <row r="26" spans="1:11" ht="35.049999999999997" customHeight="1" x14ac:dyDescent="0.3">
      <c r="A26" s="10" t="s">
        <v>756</v>
      </c>
      <c r="B26" s="392"/>
      <c r="C26" s="395">
        <v>0</v>
      </c>
      <c r="D26" s="481">
        <v>7.6479999999999997</v>
      </c>
      <c r="E26" s="478">
        <v>0.22600000000000001</v>
      </c>
      <c r="F26" s="479">
        <v>1.0999999999999999E-2</v>
      </c>
      <c r="G26" s="480">
        <v>333.71</v>
      </c>
      <c r="H26" s="480">
        <v>4.3099999999999996</v>
      </c>
      <c r="I26" s="485">
        <v>7.86</v>
      </c>
      <c r="J26" s="475">
        <v>8.2000000000000003E-2</v>
      </c>
      <c r="K26" s="26"/>
    </row>
    <row r="27" spans="1:11" ht="35.049999999999997" customHeight="1" x14ac:dyDescent="0.3">
      <c r="A27" s="10" t="s">
        <v>757</v>
      </c>
      <c r="B27" s="392"/>
      <c r="C27" s="395">
        <v>0</v>
      </c>
      <c r="D27" s="481">
        <v>7.6479999999999997</v>
      </c>
      <c r="E27" s="478">
        <v>0.22600000000000001</v>
      </c>
      <c r="F27" s="479">
        <v>1.0999999999999999E-2</v>
      </c>
      <c r="G27" s="480">
        <v>612.21</v>
      </c>
      <c r="H27" s="480">
        <v>4.3099999999999996</v>
      </c>
      <c r="I27" s="485">
        <v>7.86</v>
      </c>
      <c r="J27" s="475">
        <v>8.2000000000000003E-2</v>
      </c>
      <c r="K27" s="26"/>
    </row>
    <row r="28" spans="1:11" ht="35.049999999999997" customHeight="1" x14ac:dyDescent="0.3">
      <c r="A28" s="10" t="s">
        <v>758</v>
      </c>
      <c r="B28" s="392"/>
      <c r="C28" s="395">
        <v>0</v>
      </c>
      <c r="D28" s="481">
        <v>7.6479999999999997</v>
      </c>
      <c r="E28" s="478">
        <v>0.22600000000000001</v>
      </c>
      <c r="F28" s="479">
        <v>1.0999999999999999E-2</v>
      </c>
      <c r="G28" s="480">
        <v>939.81</v>
      </c>
      <c r="H28" s="480">
        <v>4.3099999999999996</v>
      </c>
      <c r="I28" s="485">
        <v>7.86</v>
      </c>
      <c r="J28" s="475">
        <v>8.2000000000000003E-2</v>
      </c>
      <c r="K28" s="26"/>
    </row>
    <row r="29" spans="1:11" ht="35.049999999999997" customHeight="1" x14ac:dyDescent="0.3">
      <c r="A29" s="10" t="s">
        <v>759</v>
      </c>
      <c r="B29" s="392"/>
      <c r="C29" s="395">
        <v>0</v>
      </c>
      <c r="D29" s="481">
        <v>7.6479999999999997</v>
      </c>
      <c r="E29" s="478">
        <v>0.22600000000000001</v>
      </c>
      <c r="F29" s="479">
        <v>1.0999999999999999E-2</v>
      </c>
      <c r="G29" s="480">
        <v>2008.48</v>
      </c>
      <c r="H29" s="480">
        <v>4.3099999999999996</v>
      </c>
      <c r="I29" s="485">
        <v>7.86</v>
      </c>
      <c r="J29" s="475">
        <v>8.2000000000000003E-2</v>
      </c>
      <c r="K29" s="26"/>
    </row>
    <row r="30" spans="1:11" ht="35.049999999999997" customHeight="1" x14ac:dyDescent="0.3">
      <c r="A30" s="10" t="s">
        <v>760</v>
      </c>
      <c r="B30" s="387" t="s">
        <v>1136</v>
      </c>
      <c r="C30" s="395">
        <v>0</v>
      </c>
      <c r="D30" s="481">
        <v>5.673</v>
      </c>
      <c r="E30" s="478">
        <v>0.12</v>
      </c>
      <c r="F30" s="479">
        <v>4.0000000000000001E-3</v>
      </c>
      <c r="G30" s="480">
        <v>115.83</v>
      </c>
      <c r="H30" s="480">
        <v>3.72</v>
      </c>
      <c r="I30" s="485">
        <v>7.79</v>
      </c>
      <c r="J30" s="475">
        <v>5.2999999999999999E-2</v>
      </c>
      <c r="K30" s="26"/>
    </row>
    <row r="31" spans="1:11" ht="35.049999999999997" customHeight="1" x14ac:dyDescent="0.3">
      <c r="A31" s="10" t="s">
        <v>761</v>
      </c>
      <c r="B31" s="26" t="s">
        <v>1137</v>
      </c>
      <c r="C31" s="395">
        <v>0</v>
      </c>
      <c r="D31" s="481">
        <v>5.673</v>
      </c>
      <c r="E31" s="478">
        <v>0.12</v>
      </c>
      <c r="F31" s="479">
        <v>4.0000000000000001E-3</v>
      </c>
      <c r="G31" s="480">
        <v>2045.12</v>
      </c>
      <c r="H31" s="480">
        <v>3.72</v>
      </c>
      <c r="I31" s="485">
        <v>7.79</v>
      </c>
      <c r="J31" s="475">
        <v>5.2999999999999999E-2</v>
      </c>
      <c r="K31" s="26"/>
    </row>
    <row r="32" spans="1:11" ht="35.049999999999997" customHeight="1" x14ac:dyDescent="0.3">
      <c r="A32" s="10" t="s">
        <v>762</v>
      </c>
      <c r="B32" s="26" t="s">
        <v>1138</v>
      </c>
      <c r="C32" s="395">
        <v>0</v>
      </c>
      <c r="D32" s="481">
        <v>5.673</v>
      </c>
      <c r="E32" s="478">
        <v>0.12</v>
      </c>
      <c r="F32" s="479">
        <v>4.0000000000000001E-3</v>
      </c>
      <c r="G32" s="480">
        <v>5010.97</v>
      </c>
      <c r="H32" s="480">
        <v>3.72</v>
      </c>
      <c r="I32" s="485">
        <v>7.79</v>
      </c>
      <c r="J32" s="475">
        <v>5.2999999999999999E-2</v>
      </c>
      <c r="K32" s="26"/>
    </row>
    <row r="33" spans="1:11" ht="35.049999999999997" customHeight="1" x14ac:dyDescent="0.3">
      <c r="A33" s="10" t="s">
        <v>763</v>
      </c>
      <c r="B33" s="26" t="s">
        <v>1139</v>
      </c>
      <c r="C33" s="395">
        <v>0</v>
      </c>
      <c r="D33" s="481">
        <v>5.673</v>
      </c>
      <c r="E33" s="478">
        <v>0.12</v>
      </c>
      <c r="F33" s="479">
        <v>4.0000000000000001E-3</v>
      </c>
      <c r="G33" s="480">
        <v>10862.94</v>
      </c>
      <c r="H33" s="480">
        <v>3.72</v>
      </c>
      <c r="I33" s="485">
        <v>7.79</v>
      </c>
      <c r="J33" s="475">
        <v>5.2999999999999999E-2</v>
      </c>
      <c r="K33" s="26"/>
    </row>
    <row r="34" spans="1:11" ht="35.049999999999997" customHeight="1" x14ac:dyDescent="0.3">
      <c r="A34" s="10" t="s">
        <v>764</v>
      </c>
      <c r="B34" s="26" t="s">
        <v>1140</v>
      </c>
      <c r="C34" s="395">
        <v>0</v>
      </c>
      <c r="D34" s="481">
        <v>5.673</v>
      </c>
      <c r="E34" s="478">
        <v>0.12</v>
      </c>
      <c r="F34" s="479">
        <v>4.0000000000000001E-3</v>
      </c>
      <c r="G34" s="480">
        <v>27021.02</v>
      </c>
      <c r="H34" s="480">
        <v>3.72</v>
      </c>
      <c r="I34" s="485">
        <v>7.79</v>
      </c>
      <c r="J34" s="475">
        <v>5.2999999999999999E-2</v>
      </c>
      <c r="K34" s="26"/>
    </row>
    <row r="35" spans="1:11" ht="35.049999999999997" customHeight="1" x14ac:dyDescent="0.3">
      <c r="A35" s="10" t="s">
        <v>573</v>
      </c>
      <c r="B35" s="387" t="s">
        <v>1141</v>
      </c>
      <c r="C35" s="395" t="s">
        <v>616</v>
      </c>
      <c r="D35" s="477">
        <v>45.694000000000003</v>
      </c>
      <c r="E35" s="483">
        <v>3.0760000000000001</v>
      </c>
      <c r="F35" s="479">
        <v>2.3109999999999999</v>
      </c>
      <c r="G35" s="476">
        <v>0</v>
      </c>
      <c r="H35" s="476">
        <v>0</v>
      </c>
      <c r="I35" s="476">
        <v>0</v>
      </c>
      <c r="J35" s="482">
        <v>0</v>
      </c>
      <c r="K35" s="26"/>
    </row>
    <row r="36" spans="1:11" ht="35.049999999999997" customHeight="1" x14ac:dyDescent="0.3">
      <c r="A36" s="10" t="s">
        <v>617</v>
      </c>
      <c r="B36" s="27" t="s">
        <v>1142</v>
      </c>
      <c r="C36" s="435">
        <v>0</v>
      </c>
      <c r="D36" s="481">
        <v>-10.054</v>
      </c>
      <c r="E36" s="478">
        <v>-0.435</v>
      </c>
      <c r="F36" s="479">
        <v>-2.7E-2</v>
      </c>
      <c r="G36" s="508">
        <v>0</v>
      </c>
      <c r="H36" s="476">
        <v>0</v>
      </c>
      <c r="I36" s="476">
        <v>0</v>
      </c>
      <c r="J36" s="482">
        <v>0</v>
      </c>
      <c r="K36" s="26"/>
    </row>
    <row r="37" spans="1:11" ht="35.049999999999997" customHeight="1" x14ac:dyDescent="0.3">
      <c r="A37" s="10" t="s">
        <v>682</v>
      </c>
      <c r="B37" s="392"/>
      <c r="C37" s="395">
        <v>0</v>
      </c>
      <c r="D37" s="481">
        <v>-9.0850000000000009</v>
      </c>
      <c r="E37" s="478">
        <v>-0.37</v>
      </c>
      <c r="F37" s="479">
        <v>-2.1999999999999999E-2</v>
      </c>
      <c r="G37" s="508">
        <v>0</v>
      </c>
      <c r="H37" s="476">
        <v>0</v>
      </c>
      <c r="I37" s="476">
        <v>0</v>
      </c>
      <c r="J37" s="482">
        <v>0</v>
      </c>
      <c r="K37" s="26"/>
    </row>
    <row r="38" spans="1:11" ht="35.049999999999997" customHeight="1" x14ac:dyDescent="0.3">
      <c r="A38" s="10" t="s">
        <v>597</v>
      </c>
      <c r="B38" s="27" t="s">
        <v>1143</v>
      </c>
      <c r="C38" s="395">
        <v>0</v>
      </c>
      <c r="D38" s="481">
        <v>-10.054</v>
      </c>
      <c r="E38" s="478">
        <v>-0.435</v>
      </c>
      <c r="F38" s="479">
        <v>-2.7E-2</v>
      </c>
      <c r="G38" s="508">
        <v>0</v>
      </c>
      <c r="H38" s="476">
        <v>0</v>
      </c>
      <c r="I38" s="476">
        <v>0</v>
      </c>
      <c r="J38" s="475">
        <v>0.13300000000000001</v>
      </c>
      <c r="K38" s="26"/>
    </row>
    <row r="39" spans="1:11" ht="35.049999999999997" customHeight="1" x14ac:dyDescent="0.3">
      <c r="A39" s="10" t="s">
        <v>683</v>
      </c>
      <c r="B39" s="392"/>
      <c r="C39" s="395">
        <v>0</v>
      </c>
      <c r="D39" s="481">
        <v>-10.054</v>
      </c>
      <c r="E39" s="478">
        <v>-0.435</v>
      </c>
      <c r="F39" s="479">
        <v>-2.7E-2</v>
      </c>
      <c r="G39" s="508">
        <v>0</v>
      </c>
      <c r="H39" s="476">
        <v>0</v>
      </c>
      <c r="I39" s="476">
        <v>0</v>
      </c>
      <c r="J39" s="482">
        <v>0</v>
      </c>
      <c r="K39" s="26"/>
    </row>
    <row r="40" spans="1:11" ht="35.049999999999997" customHeight="1" x14ac:dyDescent="0.3">
      <c r="A40" s="10" t="s">
        <v>684</v>
      </c>
      <c r="B40" s="392"/>
      <c r="C40" s="395">
        <v>0</v>
      </c>
      <c r="D40" s="481">
        <v>-9.0850000000000009</v>
      </c>
      <c r="E40" s="478">
        <v>-0.37</v>
      </c>
      <c r="F40" s="479">
        <v>-2.1999999999999999E-2</v>
      </c>
      <c r="G40" s="508">
        <v>0</v>
      </c>
      <c r="H40" s="476">
        <v>0</v>
      </c>
      <c r="I40" s="476">
        <v>0</v>
      </c>
      <c r="J40" s="475">
        <v>0.105</v>
      </c>
      <c r="K40" s="26"/>
    </row>
    <row r="41" spans="1:11" ht="35.049999999999997" customHeight="1" x14ac:dyDescent="0.3">
      <c r="A41" s="10" t="s">
        <v>685</v>
      </c>
      <c r="B41" s="392"/>
      <c r="C41" s="395">
        <v>0</v>
      </c>
      <c r="D41" s="481">
        <v>-9.0850000000000009</v>
      </c>
      <c r="E41" s="478">
        <v>-0.37</v>
      </c>
      <c r="F41" s="479">
        <v>-2.1999999999999999E-2</v>
      </c>
      <c r="G41" s="508">
        <v>0</v>
      </c>
      <c r="H41" s="476">
        <v>0</v>
      </c>
      <c r="I41" s="476">
        <v>0</v>
      </c>
      <c r="J41" s="482">
        <v>0</v>
      </c>
      <c r="K41" s="26"/>
    </row>
    <row r="42" spans="1:11" ht="35.049999999999997" customHeight="1" x14ac:dyDescent="0.3">
      <c r="A42" s="10" t="s">
        <v>598</v>
      </c>
      <c r="B42" s="26" t="s">
        <v>1144</v>
      </c>
      <c r="C42" s="395">
        <v>0</v>
      </c>
      <c r="D42" s="481">
        <v>-5.87</v>
      </c>
      <c r="E42" s="478">
        <v>-0.155</v>
      </c>
      <c r="F42" s="479">
        <v>-7.0000000000000001E-3</v>
      </c>
      <c r="G42" s="480">
        <v>72.319999999999993</v>
      </c>
      <c r="H42" s="476">
        <v>0</v>
      </c>
      <c r="I42" s="476">
        <v>0</v>
      </c>
      <c r="J42" s="475">
        <v>8.1000000000000003E-2</v>
      </c>
      <c r="K42" s="26"/>
    </row>
    <row r="43" spans="1:11" ht="35.049999999999997" customHeight="1" x14ac:dyDescent="0.3">
      <c r="A43" s="10" t="s">
        <v>681</v>
      </c>
      <c r="B43" s="392"/>
      <c r="C43" s="395">
        <v>0</v>
      </c>
      <c r="D43" s="481">
        <v>-5.87</v>
      </c>
      <c r="E43" s="478">
        <v>-0.155</v>
      </c>
      <c r="F43" s="479">
        <v>-7.0000000000000001E-3</v>
      </c>
      <c r="G43" s="480">
        <v>72.319999999999993</v>
      </c>
      <c r="H43" s="476">
        <v>0</v>
      </c>
      <c r="I43" s="476">
        <v>0</v>
      </c>
      <c r="J43" s="482">
        <v>0</v>
      </c>
      <c r="K43" s="26"/>
    </row>
  </sheetData>
  <mergeCells count="17">
    <mergeCell ref="C9:D9"/>
    <mergeCell ref="G9:H9"/>
    <mergeCell ref="I9:K9"/>
    <mergeCell ref="B10:E10"/>
    <mergeCell ref="G10:H10"/>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A00-000000000000}"/>
  </hyperlinks>
  <pageMargins left="0.39370078740157483" right="0.39370078740157483" top="0.51181102362204722" bottom="0.74803149606299213" header="0.27559055118110237" footer="0.27559055118110237"/>
  <pageSetup paperSize="9" scale="45"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L43"/>
  <sheetViews>
    <sheetView zoomScale="50" zoomScaleNormal="50" workbookViewId="0">
      <selection activeCell="D9" sqref="D9"/>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6" t="s">
        <v>19</v>
      </c>
      <c r="B1" s="45"/>
      <c r="C1" s="45"/>
      <c r="D1" s="45"/>
      <c r="E1" s="551" t="s">
        <v>463</v>
      </c>
      <c r="F1" s="551"/>
      <c r="G1" s="551"/>
      <c r="H1" s="551"/>
      <c r="I1" s="551"/>
      <c r="J1" s="551"/>
      <c r="K1" s="551"/>
      <c r="L1" s="31"/>
    </row>
    <row r="2" spans="1:12" ht="40" customHeight="1" x14ac:dyDescent="0.3">
      <c r="A2" s="552" t="str">
        <f>Overview!B4&amp;" - Effective from "&amp;Overview!D4&amp;" - Final LV and HV charges in NPG Yorkshire Area (GSP Group _M)"</f>
        <v>Indigo Power Limited - Effective from 1 April 2023 - Final LV and HV charges in NPG Yorkshire Area (GSP Group _M)</v>
      </c>
      <c r="B2" s="552"/>
      <c r="C2" s="552"/>
      <c r="D2" s="552"/>
      <c r="E2" s="552"/>
      <c r="F2" s="552"/>
      <c r="G2" s="552"/>
      <c r="H2" s="552"/>
      <c r="I2" s="552"/>
      <c r="J2" s="552"/>
      <c r="K2" s="552"/>
    </row>
    <row r="3" spans="1:12" s="47" customFormat="1" ht="40" customHeight="1" x14ac:dyDescent="0.3">
      <c r="A3" s="45"/>
      <c r="B3" s="45"/>
      <c r="C3" s="45"/>
      <c r="D3" s="45"/>
      <c r="E3" s="45"/>
      <c r="F3" s="45"/>
      <c r="G3" s="45"/>
      <c r="H3" s="45"/>
      <c r="I3" s="45"/>
      <c r="J3" s="45"/>
      <c r="K3" s="45"/>
      <c r="L3" s="46"/>
    </row>
    <row r="4" spans="1:12" ht="40" customHeight="1" x14ac:dyDescent="0.3">
      <c r="A4" s="552" t="s">
        <v>308</v>
      </c>
      <c r="B4" s="552"/>
      <c r="C4" s="552"/>
      <c r="D4" s="552"/>
      <c r="E4" s="552"/>
      <c r="F4" s="45"/>
      <c r="G4" s="552" t="s">
        <v>307</v>
      </c>
      <c r="H4" s="552"/>
      <c r="I4" s="552"/>
      <c r="J4" s="552"/>
      <c r="K4" s="552"/>
    </row>
    <row r="5" spans="1:12" ht="40" customHeight="1" x14ac:dyDescent="0.3">
      <c r="A5" s="468" t="s">
        <v>13</v>
      </c>
      <c r="B5" s="281" t="s">
        <v>299</v>
      </c>
      <c r="C5" s="547" t="s">
        <v>300</v>
      </c>
      <c r="D5" s="548"/>
      <c r="E5" s="42" t="s">
        <v>301</v>
      </c>
      <c r="F5" s="45"/>
      <c r="G5" s="549"/>
      <c r="H5" s="550"/>
      <c r="I5" s="43" t="s">
        <v>305</v>
      </c>
      <c r="J5" s="44" t="s">
        <v>306</v>
      </c>
      <c r="K5" s="42" t="s">
        <v>301</v>
      </c>
      <c r="L5" s="45"/>
    </row>
    <row r="6" spans="1:12" ht="40" customHeight="1" x14ac:dyDescent="0.3">
      <c r="A6" s="105" t="s">
        <v>601</v>
      </c>
      <c r="B6" s="13" t="s">
        <v>634</v>
      </c>
      <c r="C6" s="568" t="s">
        <v>635</v>
      </c>
      <c r="D6" s="568" t="s">
        <v>603</v>
      </c>
      <c r="E6" s="13" t="s">
        <v>636</v>
      </c>
      <c r="F6" s="45" t="s">
        <v>603</v>
      </c>
      <c r="G6" s="569" t="s">
        <v>303</v>
      </c>
      <c r="H6" s="569" t="s">
        <v>603</v>
      </c>
      <c r="I6" s="13" t="s">
        <v>634</v>
      </c>
      <c r="J6" s="279" t="s">
        <v>635</v>
      </c>
      <c r="K6" s="279" t="s">
        <v>636</v>
      </c>
      <c r="L6" s="45"/>
    </row>
    <row r="7" spans="1:12" ht="40" customHeight="1" x14ac:dyDescent="0.3">
      <c r="A7" s="105" t="s">
        <v>605</v>
      </c>
      <c r="B7" s="113" t="s">
        <v>603</v>
      </c>
      <c r="C7" s="574" t="s">
        <v>603</v>
      </c>
      <c r="D7" s="575" t="s">
        <v>603</v>
      </c>
      <c r="E7" s="13" t="s">
        <v>613</v>
      </c>
      <c r="F7" s="45" t="s">
        <v>603</v>
      </c>
      <c r="G7" s="569" t="s">
        <v>637</v>
      </c>
      <c r="H7" s="569" t="s">
        <v>603</v>
      </c>
      <c r="I7" s="113" t="s">
        <v>603</v>
      </c>
      <c r="J7" s="279" t="s">
        <v>638</v>
      </c>
      <c r="K7" s="279" t="s">
        <v>636</v>
      </c>
      <c r="L7" s="45"/>
    </row>
    <row r="8" spans="1:12" ht="40" customHeight="1" x14ac:dyDescent="0.3">
      <c r="A8" s="465" t="s">
        <v>14</v>
      </c>
      <c r="B8" s="537" t="s">
        <v>15</v>
      </c>
      <c r="C8" s="546" t="s">
        <v>603</v>
      </c>
      <c r="D8" s="546" t="s">
        <v>603</v>
      </c>
      <c r="E8" s="538" t="s">
        <v>603</v>
      </c>
      <c r="F8" s="45" t="s">
        <v>603</v>
      </c>
      <c r="G8" s="569" t="s">
        <v>626</v>
      </c>
      <c r="H8" s="569" t="s">
        <v>603</v>
      </c>
      <c r="I8" s="113" t="s">
        <v>603</v>
      </c>
      <c r="J8" s="113" t="s">
        <v>603</v>
      </c>
      <c r="K8" s="279" t="s">
        <v>613</v>
      </c>
      <c r="L8" s="45"/>
    </row>
    <row r="9" spans="1:12" s="47" customFormat="1" ht="40" customHeight="1" x14ac:dyDescent="0.3">
      <c r="A9" s="45" t="s">
        <v>603</v>
      </c>
      <c r="B9" s="45" t="s">
        <v>603</v>
      </c>
      <c r="C9" s="45" t="s">
        <v>603</v>
      </c>
      <c r="D9" s="518" t="s">
        <v>480</v>
      </c>
      <c r="E9" s="45" t="s">
        <v>603</v>
      </c>
      <c r="F9" s="45" t="s">
        <v>603</v>
      </c>
      <c r="G9" s="569" t="s">
        <v>14</v>
      </c>
      <c r="H9" s="569" t="s">
        <v>603</v>
      </c>
      <c r="I9" s="537" t="s">
        <v>15</v>
      </c>
      <c r="J9" s="546" t="s">
        <v>603</v>
      </c>
      <c r="K9" s="538" t="s">
        <v>603</v>
      </c>
      <c r="L9" s="46"/>
    </row>
    <row r="10" spans="1:12" s="47" customFormat="1" ht="40" customHeight="1" x14ac:dyDescent="0.3">
      <c r="A10" s="45"/>
      <c r="B10" s="45"/>
      <c r="C10" s="45"/>
      <c r="D10" s="45"/>
      <c r="E10" s="45"/>
      <c r="F10" s="45"/>
      <c r="G10" s="45"/>
      <c r="H10" s="45"/>
      <c r="I10" s="45"/>
      <c r="J10" s="45"/>
      <c r="K10" s="45"/>
      <c r="L10" s="46"/>
    </row>
    <row r="11" spans="1:12" ht="75" customHeight="1" x14ac:dyDescent="0.3">
      <c r="A11" s="18" t="s">
        <v>455</v>
      </c>
      <c r="B11" s="433" t="s">
        <v>23</v>
      </c>
      <c r="C11" s="433" t="s">
        <v>24</v>
      </c>
      <c r="D11" s="438" t="s">
        <v>579</v>
      </c>
      <c r="E11" s="438" t="s">
        <v>580</v>
      </c>
      <c r="F11" s="438" t="s">
        <v>581</v>
      </c>
      <c r="G11" s="439" t="s">
        <v>25</v>
      </c>
      <c r="H11" s="439" t="s">
        <v>26</v>
      </c>
      <c r="I11" s="440" t="s">
        <v>456</v>
      </c>
      <c r="J11" s="439" t="s">
        <v>270</v>
      </c>
      <c r="K11" s="433" t="s">
        <v>0</v>
      </c>
    </row>
    <row r="12" spans="1:12" ht="35.049999999999997" customHeight="1" x14ac:dyDescent="0.3">
      <c r="A12" s="10" t="s">
        <v>570</v>
      </c>
      <c r="B12" s="387" t="s">
        <v>1145</v>
      </c>
      <c r="C12" s="375" t="s">
        <v>574</v>
      </c>
      <c r="D12" s="441">
        <v>4.2240000000000002</v>
      </c>
      <c r="E12" s="442">
        <v>1.1339999999999999</v>
      </c>
      <c r="F12" s="443">
        <v>0.161</v>
      </c>
      <c r="G12" s="444">
        <v>16.21</v>
      </c>
      <c r="H12" s="445">
        <v>0</v>
      </c>
      <c r="I12" s="445">
        <v>0</v>
      </c>
      <c r="J12" s="446">
        <v>0</v>
      </c>
      <c r="K12" s="453"/>
    </row>
    <row r="13" spans="1:12" ht="35.049999999999997" customHeight="1" x14ac:dyDescent="0.3">
      <c r="A13" s="10" t="s">
        <v>571</v>
      </c>
      <c r="B13" s="387" t="s">
        <v>1146</v>
      </c>
      <c r="C13" s="375" t="s">
        <v>575</v>
      </c>
      <c r="D13" s="441">
        <v>4.2240000000000002</v>
      </c>
      <c r="E13" s="442">
        <v>1.1339999999999999</v>
      </c>
      <c r="F13" s="443">
        <v>0.161</v>
      </c>
      <c r="G13" s="445">
        <v>0</v>
      </c>
      <c r="H13" s="445">
        <v>0</v>
      </c>
      <c r="I13" s="445">
        <v>0</v>
      </c>
      <c r="J13" s="446">
        <v>0</v>
      </c>
      <c r="K13" s="453"/>
    </row>
    <row r="14" spans="1:12" ht="35.049999999999997" customHeight="1" x14ac:dyDescent="0.3">
      <c r="A14" s="10" t="s">
        <v>745</v>
      </c>
      <c r="B14" s="387" t="s">
        <v>1147</v>
      </c>
      <c r="C14" s="375" t="s">
        <v>576</v>
      </c>
      <c r="D14" s="441">
        <v>4.6020000000000003</v>
      </c>
      <c r="E14" s="442">
        <v>1.236</v>
      </c>
      <c r="F14" s="443">
        <v>0.17499999999999999</v>
      </c>
      <c r="G14" s="444">
        <v>7.11</v>
      </c>
      <c r="H14" s="445">
        <v>0</v>
      </c>
      <c r="I14" s="445">
        <v>0</v>
      </c>
      <c r="J14" s="446">
        <v>0</v>
      </c>
      <c r="K14" s="453"/>
    </row>
    <row r="15" spans="1:12" ht="35.049999999999997" customHeight="1" x14ac:dyDescent="0.3">
      <c r="A15" s="10" t="s">
        <v>746</v>
      </c>
      <c r="B15" s="387" t="s">
        <v>1148</v>
      </c>
      <c r="C15" s="436" t="s">
        <v>930</v>
      </c>
      <c r="D15" s="441">
        <v>4.6020000000000003</v>
      </c>
      <c r="E15" s="442">
        <v>1.236</v>
      </c>
      <c r="F15" s="443">
        <v>0.17499999999999999</v>
      </c>
      <c r="G15" s="444">
        <v>11.49</v>
      </c>
      <c r="H15" s="445">
        <v>0</v>
      </c>
      <c r="I15" s="445">
        <v>0</v>
      </c>
      <c r="J15" s="446">
        <v>0</v>
      </c>
      <c r="K15" s="453"/>
    </row>
    <row r="16" spans="1:12" ht="35.049999999999997" customHeight="1" x14ac:dyDescent="0.3">
      <c r="A16" s="10" t="s">
        <v>747</v>
      </c>
      <c r="B16" s="27" t="s">
        <v>1149</v>
      </c>
      <c r="C16" s="436" t="s">
        <v>930</v>
      </c>
      <c r="D16" s="441">
        <v>4.6020000000000003</v>
      </c>
      <c r="E16" s="442">
        <v>1.236</v>
      </c>
      <c r="F16" s="443">
        <v>0.17499999999999999</v>
      </c>
      <c r="G16" s="444">
        <v>29.1</v>
      </c>
      <c r="H16" s="445">
        <v>0</v>
      </c>
      <c r="I16" s="445">
        <v>0</v>
      </c>
      <c r="J16" s="446">
        <v>0</v>
      </c>
      <c r="K16" s="453"/>
    </row>
    <row r="17" spans="1:11" ht="35.049999999999997" customHeight="1" x14ac:dyDescent="0.3">
      <c r="A17" s="10" t="s">
        <v>748</v>
      </c>
      <c r="B17" s="27" t="s">
        <v>1150</v>
      </c>
      <c r="C17" s="436" t="s">
        <v>930</v>
      </c>
      <c r="D17" s="441">
        <v>4.6020000000000003</v>
      </c>
      <c r="E17" s="442">
        <v>1.236</v>
      </c>
      <c r="F17" s="443">
        <v>0.17499999999999999</v>
      </c>
      <c r="G17" s="444">
        <v>62</v>
      </c>
      <c r="H17" s="445">
        <v>0</v>
      </c>
      <c r="I17" s="445">
        <v>0</v>
      </c>
      <c r="J17" s="446">
        <v>0</v>
      </c>
      <c r="K17" s="453"/>
    </row>
    <row r="18" spans="1:11" ht="35.049999999999997" customHeight="1" x14ac:dyDescent="0.3">
      <c r="A18" s="10" t="s">
        <v>749</v>
      </c>
      <c r="B18" s="27" t="s">
        <v>1151</v>
      </c>
      <c r="C18" s="436" t="s">
        <v>930</v>
      </c>
      <c r="D18" s="441">
        <v>4.6020000000000003</v>
      </c>
      <c r="E18" s="442">
        <v>1.236</v>
      </c>
      <c r="F18" s="443">
        <v>0.17499999999999999</v>
      </c>
      <c r="G18" s="444">
        <v>179.86</v>
      </c>
      <c r="H18" s="445">
        <v>0</v>
      </c>
      <c r="I18" s="445">
        <v>0</v>
      </c>
      <c r="J18" s="446">
        <v>0</v>
      </c>
      <c r="K18" s="453"/>
    </row>
    <row r="19" spans="1:11" ht="35.049999999999997" customHeight="1" x14ac:dyDescent="0.3">
      <c r="A19" s="10" t="s">
        <v>572</v>
      </c>
      <c r="B19" s="27" t="s">
        <v>1152</v>
      </c>
      <c r="C19" s="391" t="s">
        <v>577</v>
      </c>
      <c r="D19" s="441">
        <v>4.6020000000000003</v>
      </c>
      <c r="E19" s="442">
        <v>1.236</v>
      </c>
      <c r="F19" s="443">
        <v>0.17499999999999999</v>
      </c>
      <c r="G19" s="445">
        <v>0</v>
      </c>
      <c r="H19" s="445">
        <v>0</v>
      </c>
      <c r="I19" s="445">
        <v>0</v>
      </c>
      <c r="J19" s="446">
        <v>0</v>
      </c>
      <c r="K19" s="453"/>
    </row>
    <row r="20" spans="1:11" ht="35.049999999999997" customHeight="1" x14ac:dyDescent="0.3">
      <c r="A20" s="10" t="s">
        <v>750</v>
      </c>
      <c r="B20" s="24" t="s">
        <v>1217</v>
      </c>
      <c r="C20" s="395">
        <v>0</v>
      </c>
      <c r="D20" s="441">
        <v>3.5859999999999999</v>
      </c>
      <c r="E20" s="442">
        <v>0.95499999999999996</v>
      </c>
      <c r="F20" s="443">
        <v>0.13600000000000001</v>
      </c>
      <c r="G20" s="444">
        <v>15.07</v>
      </c>
      <c r="H20" s="444">
        <v>1.37</v>
      </c>
      <c r="I20" s="447">
        <v>2.88</v>
      </c>
      <c r="J20" s="448">
        <v>0.10199999999999999</v>
      </c>
      <c r="K20" s="453"/>
    </row>
    <row r="21" spans="1:11" ht="35.049999999999997" customHeight="1" x14ac:dyDescent="0.3">
      <c r="A21" s="10" t="s">
        <v>751</v>
      </c>
      <c r="B21" s="26" t="s">
        <v>1153</v>
      </c>
      <c r="C21" s="395">
        <v>0</v>
      </c>
      <c r="D21" s="441">
        <v>3.5859999999999999</v>
      </c>
      <c r="E21" s="442">
        <v>0.95499999999999996</v>
      </c>
      <c r="F21" s="443">
        <v>0.13600000000000001</v>
      </c>
      <c r="G21" s="444">
        <v>270.07</v>
      </c>
      <c r="H21" s="444">
        <v>1.37</v>
      </c>
      <c r="I21" s="447">
        <v>2.88</v>
      </c>
      <c r="J21" s="448">
        <v>0.10199999999999999</v>
      </c>
      <c r="K21" s="453"/>
    </row>
    <row r="22" spans="1:11" ht="35.049999999999997" customHeight="1" x14ac:dyDescent="0.3">
      <c r="A22" s="10" t="s">
        <v>752</v>
      </c>
      <c r="B22" s="26" t="s">
        <v>1154</v>
      </c>
      <c r="C22" s="395">
        <v>0</v>
      </c>
      <c r="D22" s="441">
        <v>3.5859999999999999</v>
      </c>
      <c r="E22" s="442">
        <v>0.95499999999999996</v>
      </c>
      <c r="F22" s="443">
        <v>0.13600000000000001</v>
      </c>
      <c r="G22" s="444">
        <v>534.65</v>
      </c>
      <c r="H22" s="444">
        <v>1.37</v>
      </c>
      <c r="I22" s="447">
        <v>2.88</v>
      </c>
      <c r="J22" s="448">
        <v>0.10199999999999999</v>
      </c>
      <c r="K22" s="453"/>
    </row>
    <row r="23" spans="1:11" ht="35.049999999999997" customHeight="1" x14ac:dyDescent="0.3">
      <c r="A23" s="10" t="s">
        <v>753</v>
      </c>
      <c r="B23" s="26" t="s">
        <v>1155</v>
      </c>
      <c r="C23" s="395">
        <v>0</v>
      </c>
      <c r="D23" s="441">
        <v>3.5859999999999999</v>
      </c>
      <c r="E23" s="442">
        <v>0.95499999999999996</v>
      </c>
      <c r="F23" s="443">
        <v>0.13600000000000001</v>
      </c>
      <c r="G23" s="444">
        <v>841.09</v>
      </c>
      <c r="H23" s="444">
        <v>1.37</v>
      </c>
      <c r="I23" s="447">
        <v>2.88</v>
      </c>
      <c r="J23" s="448">
        <v>0.10199999999999999</v>
      </c>
      <c r="K23" s="453"/>
    </row>
    <row r="24" spans="1:11" ht="35.049999999999997" customHeight="1" x14ac:dyDescent="0.3">
      <c r="A24" s="10" t="s">
        <v>754</v>
      </c>
      <c r="B24" s="26" t="s">
        <v>1156</v>
      </c>
      <c r="C24" s="395">
        <v>0</v>
      </c>
      <c r="D24" s="441">
        <v>3.5859999999999999</v>
      </c>
      <c r="E24" s="442">
        <v>0.95499999999999996</v>
      </c>
      <c r="F24" s="443">
        <v>0.13600000000000001</v>
      </c>
      <c r="G24" s="444">
        <v>1654.31</v>
      </c>
      <c r="H24" s="444">
        <v>1.37</v>
      </c>
      <c r="I24" s="447">
        <v>2.88</v>
      </c>
      <c r="J24" s="448">
        <v>0.10199999999999999</v>
      </c>
      <c r="K24" s="453"/>
    </row>
    <row r="25" spans="1:11" ht="35.049999999999997" customHeight="1" x14ac:dyDescent="0.3">
      <c r="A25" s="10" t="s">
        <v>755</v>
      </c>
      <c r="B25" s="392"/>
      <c r="C25" s="395">
        <v>0</v>
      </c>
      <c r="D25" s="441">
        <v>2.4580000000000002</v>
      </c>
      <c r="E25" s="442">
        <v>0.64200000000000002</v>
      </c>
      <c r="F25" s="443">
        <v>9.0999999999999998E-2</v>
      </c>
      <c r="G25" s="444">
        <v>15.07</v>
      </c>
      <c r="H25" s="444">
        <v>1.56</v>
      </c>
      <c r="I25" s="447">
        <v>2.42</v>
      </c>
      <c r="J25" s="448">
        <v>6.5000000000000002E-2</v>
      </c>
      <c r="K25" s="453"/>
    </row>
    <row r="26" spans="1:11" ht="35.049999999999997" customHeight="1" x14ac:dyDescent="0.3">
      <c r="A26" s="10" t="s">
        <v>756</v>
      </c>
      <c r="B26" s="392"/>
      <c r="C26" s="395">
        <v>0</v>
      </c>
      <c r="D26" s="441">
        <v>2.4580000000000002</v>
      </c>
      <c r="E26" s="442">
        <v>0.64200000000000002</v>
      </c>
      <c r="F26" s="443">
        <v>9.0999999999999998E-2</v>
      </c>
      <c r="G26" s="444">
        <v>270.07</v>
      </c>
      <c r="H26" s="444">
        <v>1.56</v>
      </c>
      <c r="I26" s="447">
        <v>2.42</v>
      </c>
      <c r="J26" s="448">
        <v>6.5000000000000002E-2</v>
      </c>
      <c r="K26" s="453"/>
    </row>
    <row r="27" spans="1:11" ht="35.049999999999997" customHeight="1" x14ac:dyDescent="0.3">
      <c r="A27" s="10" t="s">
        <v>757</v>
      </c>
      <c r="B27" s="392"/>
      <c r="C27" s="395">
        <v>0</v>
      </c>
      <c r="D27" s="441">
        <v>2.4580000000000002</v>
      </c>
      <c r="E27" s="442">
        <v>0.64200000000000002</v>
      </c>
      <c r="F27" s="443">
        <v>9.0999999999999998E-2</v>
      </c>
      <c r="G27" s="444">
        <v>534.65</v>
      </c>
      <c r="H27" s="444">
        <v>1.56</v>
      </c>
      <c r="I27" s="447">
        <v>2.42</v>
      </c>
      <c r="J27" s="448">
        <v>6.5000000000000002E-2</v>
      </c>
      <c r="K27" s="453"/>
    </row>
    <row r="28" spans="1:11" ht="35.049999999999997" customHeight="1" x14ac:dyDescent="0.3">
      <c r="A28" s="10" t="s">
        <v>758</v>
      </c>
      <c r="B28" s="392"/>
      <c r="C28" s="395">
        <v>0</v>
      </c>
      <c r="D28" s="441">
        <v>2.4580000000000002</v>
      </c>
      <c r="E28" s="442">
        <v>0.64200000000000002</v>
      </c>
      <c r="F28" s="443">
        <v>9.0999999999999998E-2</v>
      </c>
      <c r="G28" s="444">
        <v>841.09</v>
      </c>
      <c r="H28" s="444">
        <v>1.56</v>
      </c>
      <c r="I28" s="447">
        <v>2.42</v>
      </c>
      <c r="J28" s="448">
        <v>6.5000000000000002E-2</v>
      </c>
      <c r="K28" s="453"/>
    </row>
    <row r="29" spans="1:11" ht="35.049999999999997" customHeight="1" x14ac:dyDescent="0.3">
      <c r="A29" s="10" t="s">
        <v>759</v>
      </c>
      <c r="B29" s="392"/>
      <c r="C29" s="395">
        <v>0</v>
      </c>
      <c r="D29" s="441">
        <v>2.4580000000000002</v>
      </c>
      <c r="E29" s="442">
        <v>0.64200000000000002</v>
      </c>
      <c r="F29" s="443">
        <v>9.0999999999999998E-2</v>
      </c>
      <c r="G29" s="444">
        <v>1654.31</v>
      </c>
      <c r="H29" s="444">
        <v>1.56</v>
      </c>
      <c r="I29" s="447">
        <v>2.42</v>
      </c>
      <c r="J29" s="448">
        <v>6.5000000000000002E-2</v>
      </c>
      <c r="K29" s="453"/>
    </row>
    <row r="30" spans="1:11" ht="35.049999999999997" customHeight="1" x14ac:dyDescent="0.3">
      <c r="A30" s="10" t="s">
        <v>760</v>
      </c>
      <c r="B30" s="387" t="s">
        <v>1157</v>
      </c>
      <c r="C30" s="395">
        <v>0</v>
      </c>
      <c r="D30" s="441">
        <v>1.6519999999999999</v>
      </c>
      <c r="E30" s="442">
        <v>0.41899999999999998</v>
      </c>
      <c r="F30" s="443">
        <v>5.8999999999999997E-2</v>
      </c>
      <c r="G30" s="444">
        <v>182.44</v>
      </c>
      <c r="H30" s="444">
        <v>1.88</v>
      </c>
      <c r="I30" s="447">
        <v>3</v>
      </c>
      <c r="J30" s="448">
        <v>0.04</v>
      </c>
      <c r="K30" s="453"/>
    </row>
    <row r="31" spans="1:11" ht="35.049999999999997" customHeight="1" x14ac:dyDescent="0.3">
      <c r="A31" s="10" t="s">
        <v>761</v>
      </c>
      <c r="B31" s="26" t="s">
        <v>1158</v>
      </c>
      <c r="C31" s="395">
        <v>0</v>
      </c>
      <c r="D31" s="441">
        <v>1.6519999999999999</v>
      </c>
      <c r="E31" s="442">
        <v>0.41899999999999998</v>
      </c>
      <c r="F31" s="443">
        <v>5.8999999999999997E-2</v>
      </c>
      <c r="G31" s="444">
        <v>1703.33</v>
      </c>
      <c r="H31" s="444">
        <v>1.88</v>
      </c>
      <c r="I31" s="447">
        <v>3</v>
      </c>
      <c r="J31" s="448">
        <v>0.04</v>
      </c>
      <c r="K31" s="453"/>
    </row>
    <row r="32" spans="1:11" ht="35.049999999999997" customHeight="1" x14ac:dyDescent="0.3">
      <c r="A32" s="10" t="s">
        <v>762</v>
      </c>
      <c r="B32" s="26" t="s">
        <v>1159</v>
      </c>
      <c r="C32" s="395">
        <v>0</v>
      </c>
      <c r="D32" s="441">
        <v>1.6519999999999999</v>
      </c>
      <c r="E32" s="442">
        <v>0.41899999999999998</v>
      </c>
      <c r="F32" s="443">
        <v>5.8999999999999997E-2</v>
      </c>
      <c r="G32" s="444">
        <v>4764.16</v>
      </c>
      <c r="H32" s="444">
        <v>1.88</v>
      </c>
      <c r="I32" s="447">
        <v>3</v>
      </c>
      <c r="J32" s="448">
        <v>0.04</v>
      </c>
      <c r="K32" s="453"/>
    </row>
    <row r="33" spans="1:11" ht="35.049999999999997" customHeight="1" x14ac:dyDescent="0.3">
      <c r="A33" s="10" t="s">
        <v>763</v>
      </c>
      <c r="B33" s="26" t="s">
        <v>1160</v>
      </c>
      <c r="C33" s="395">
        <v>0</v>
      </c>
      <c r="D33" s="441">
        <v>1.6519999999999999</v>
      </c>
      <c r="E33" s="442">
        <v>0.41899999999999998</v>
      </c>
      <c r="F33" s="443">
        <v>5.8999999999999997E-2</v>
      </c>
      <c r="G33" s="444">
        <v>9900.56</v>
      </c>
      <c r="H33" s="444">
        <v>1.88</v>
      </c>
      <c r="I33" s="447">
        <v>3</v>
      </c>
      <c r="J33" s="448">
        <v>0.04</v>
      </c>
      <c r="K33" s="453"/>
    </row>
    <row r="34" spans="1:11" ht="35.049999999999997" customHeight="1" x14ac:dyDescent="0.3">
      <c r="A34" s="10" t="s">
        <v>764</v>
      </c>
      <c r="B34" s="26" t="s">
        <v>1161</v>
      </c>
      <c r="C34" s="395">
        <v>0</v>
      </c>
      <c r="D34" s="441">
        <v>1.6519999999999999</v>
      </c>
      <c r="E34" s="442">
        <v>0.41899999999999998</v>
      </c>
      <c r="F34" s="443">
        <v>5.8999999999999997E-2</v>
      </c>
      <c r="G34" s="444">
        <v>23548.06</v>
      </c>
      <c r="H34" s="444">
        <v>1.88</v>
      </c>
      <c r="I34" s="447">
        <v>3</v>
      </c>
      <c r="J34" s="448">
        <v>0.04</v>
      </c>
      <c r="K34" s="453"/>
    </row>
    <row r="35" spans="1:11" ht="35.049999999999997" customHeight="1" x14ac:dyDescent="0.3">
      <c r="A35" s="10" t="s">
        <v>573</v>
      </c>
      <c r="B35" s="387" t="s">
        <v>1162</v>
      </c>
      <c r="C35" s="395" t="s">
        <v>616</v>
      </c>
      <c r="D35" s="449">
        <v>12.097</v>
      </c>
      <c r="E35" s="450">
        <v>2.0329999999999999</v>
      </c>
      <c r="F35" s="451">
        <v>1.2490000000000001</v>
      </c>
      <c r="G35" s="445">
        <v>0</v>
      </c>
      <c r="H35" s="445">
        <v>0</v>
      </c>
      <c r="I35" s="445">
        <v>0</v>
      </c>
      <c r="J35" s="446">
        <v>0</v>
      </c>
      <c r="K35" s="453"/>
    </row>
    <row r="36" spans="1:11" ht="35.049999999999997" customHeight="1" x14ac:dyDescent="0.3">
      <c r="A36" s="10" t="s">
        <v>617</v>
      </c>
      <c r="B36" s="27" t="s">
        <v>1163</v>
      </c>
      <c r="C36" s="435">
        <v>0</v>
      </c>
      <c r="D36" s="441">
        <v>-3.073</v>
      </c>
      <c r="E36" s="442">
        <v>-0.82499999999999996</v>
      </c>
      <c r="F36" s="443">
        <v>-0.11700000000000001</v>
      </c>
      <c r="G36" s="445">
        <v>0</v>
      </c>
      <c r="H36" s="445">
        <v>0</v>
      </c>
      <c r="I36" s="445">
        <v>0</v>
      </c>
      <c r="J36" s="446">
        <v>0</v>
      </c>
      <c r="K36" s="453"/>
    </row>
    <row r="37" spans="1:11" ht="35.049999999999997" customHeight="1" x14ac:dyDescent="0.3">
      <c r="A37" s="10" t="s">
        <v>682</v>
      </c>
      <c r="B37" s="392"/>
      <c r="C37" s="395">
        <v>0</v>
      </c>
      <c r="D37" s="441">
        <v>-2.7040000000000002</v>
      </c>
      <c r="E37" s="442">
        <v>-0.72299999999999998</v>
      </c>
      <c r="F37" s="443">
        <v>-0.10299999999999999</v>
      </c>
      <c r="G37" s="445">
        <v>0</v>
      </c>
      <c r="H37" s="445">
        <v>0</v>
      </c>
      <c r="I37" s="445">
        <v>0</v>
      </c>
      <c r="J37" s="446">
        <v>0</v>
      </c>
      <c r="K37" s="453"/>
    </row>
    <row r="38" spans="1:11" ht="35.049999999999997" customHeight="1" x14ac:dyDescent="0.3">
      <c r="A38" s="10" t="s">
        <v>597</v>
      </c>
      <c r="B38" s="27" t="s">
        <v>1164</v>
      </c>
      <c r="C38" s="395">
        <v>0</v>
      </c>
      <c r="D38" s="441">
        <v>-3.073</v>
      </c>
      <c r="E38" s="442">
        <v>-0.82499999999999996</v>
      </c>
      <c r="F38" s="443">
        <v>-0.11700000000000001</v>
      </c>
      <c r="G38" s="445">
        <v>0</v>
      </c>
      <c r="H38" s="445">
        <v>0</v>
      </c>
      <c r="I38" s="445">
        <v>0</v>
      </c>
      <c r="J38" s="448">
        <v>7.9000000000000001E-2</v>
      </c>
      <c r="K38" s="453"/>
    </row>
    <row r="39" spans="1:11" ht="35.049999999999997" customHeight="1" x14ac:dyDescent="0.3">
      <c r="A39" s="10" t="s">
        <v>683</v>
      </c>
      <c r="B39" s="392"/>
      <c r="C39" s="395">
        <v>0</v>
      </c>
      <c r="D39" s="441">
        <v>-3.073</v>
      </c>
      <c r="E39" s="442">
        <v>-0.82499999999999996</v>
      </c>
      <c r="F39" s="443">
        <v>-0.11700000000000001</v>
      </c>
      <c r="G39" s="445">
        <v>0</v>
      </c>
      <c r="H39" s="445">
        <v>0</v>
      </c>
      <c r="I39" s="445">
        <v>0</v>
      </c>
      <c r="J39" s="446">
        <v>0</v>
      </c>
      <c r="K39" s="453"/>
    </row>
    <row r="40" spans="1:11" ht="35.049999999999997" customHeight="1" x14ac:dyDescent="0.3">
      <c r="A40" s="10" t="s">
        <v>684</v>
      </c>
      <c r="B40" s="392"/>
      <c r="C40" s="395">
        <v>0</v>
      </c>
      <c r="D40" s="441">
        <v>-2.7040000000000002</v>
      </c>
      <c r="E40" s="442">
        <v>-0.72299999999999998</v>
      </c>
      <c r="F40" s="443">
        <v>-0.10299999999999999</v>
      </c>
      <c r="G40" s="445">
        <v>0</v>
      </c>
      <c r="H40" s="445">
        <v>0</v>
      </c>
      <c r="I40" s="445">
        <v>0</v>
      </c>
      <c r="J40" s="448">
        <v>7.3999999999999996E-2</v>
      </c>
      <c r="K40" s="453"/>
    </row>
    <row r="41" spans="1:11" ht="35.049999999999997" customHeight="1" x14ac:dyDescent="0.3">
      <c r="A41" s="10" t="s">
        <v>685</v>
      </c>
      <c r="B41" s="392"/>
      <c r="C41" s="395">
        <v>0</v>
      </c>
      <c r="D41" s="441">
        <v>-2.7040000000000002</v>
      </c>
      <c r="E41" s="442">
        <v>-0.72299999999999998</v>
      </c>
      <c r="F41" s="443">
        <v>-0.10299999999999999</v>
      </c>
      <c r="G41" s="445">
        <v>0</v>
      </c>
      <c r="H41" s="445">
        <v>0</v>
      </c>
      <c r="I41" s="445">
        <v>0</v>
      </c>
      <c r="J41" s="446">
        <v>0</v>
      </c>
      <c r="K41" s="453"/>
    </row>
    <row r="42" spans="1:11" ht="35.049999999999997" customHeight="1" x14ac:dyDescent="0.3">
      <c r="A42" s="10" t="s">
        <v>598</v>
      </c>
      <c r="B42" s="26" t="s">
        <v>1165</v>
      </c>
      <c r="C42" s="395">
        <v>0</v>
      </c>
      <c r="D42" s="441">
        <v>-1.944</v>
      </c>
      <c r="E42" s="442">
        <v>-0.50600000000000001</v>
      </c>
      <c r="F42" s="443">
        <v>-7.1999999999999995E-2</v>
      </c>
      <c r="G42" s="444">
        <v>113.88</v>
      </c>
      <c r="H42" s="445">
        <v>0</v>
      </c>
      <c r="I42" s="445">
        <v>0</v>
      </c>
      <c r="J42" s="448">
        <v>0.06</v>
      </c>
      <c r="K42" s="453"/>
    </row>
    <row r="43" spans="1:11" ht="27.75" customHeight="1" x14ac:dyDescent="0.3">
      <c r="A43" s="10" t="s">
        <v>681</v>
      </c>
      <c r="B43" s="392"/>
      <c r="C43" s="395">
        <v>0</v>
      </c>
      <c r="D43" s="441">
        <v>-1.944</v>
      </c>
      <c r="E43" s="442">
        <v>-0.50600000000000001</v>
      </c>
      <c r="F43" s="443">
        <v>-7.1999999999999995E-2</v>
      </c>
      <c r="G43" s="444">
        <v>113.88</v>
      </c>
      <c r="H43" s="445">
        <v>0</v>
      </c>
      <c r="I43" s="445">
        <v>0</v>
      </c>
      <c r="J43" s="446">
        <v>0</v>
      </c>
      <c r="K43" s="453"/>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B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0E41-0043-4379-BF3E-8E1A7231D11C}">
  <sheetPr codeName="Sheet16">
    <pageSetUpPr fitToPage="1"/>
  </sheetPr>
  <dimension ref="A1:L43"/>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6" t="s">
        <v>19</v>
      </c>
      <c r="B1" s="45"/>
      <c r="C1" s="45"/>
      <c r="D1" s="45"/>
      <c r="E1" s="551" t="s">
        <v>463</v>
      </c>
      <c r="F1" s="551"/>
      <c r="G1" s="551"/>
      <c r="H1" s="551"/>
      <c r="I1" s="551"/>
      <c r="J1" s="551"/>
      <c r="K1" s="551"/>
      <c r="L1" s="31"/>
    </row>
    <row r="2" spans="1:12" ht="40" customHeight="1" x14ac:dyDescent="0.3">
      <c r="A2" s="552" t="str">
        <f>Overview!B4&amp;" - Effective from "&amp;Overview!D4&amp;" - Final LV and HV charges in SP Distribution Area (GSP Group _N)"</f>
        <v>Indigo Power Limited - Effective from 1 April 2023 - Final LV and HV charges in SP Distribution Area (GSP Group _N)</v>
      </c>
      <c r="B2" s="552"/>
      <c r="C2" s="552"/>
      <c r="D2" s="552"/>
      <c r="E2" s="552"/>
      <c r="F2" s="552"/>
      <c r="G2" s="552"/>
      <c r="H2" s="552"/>
      <c r="I2" s="552"/>
      <c r="J2" s="552"/>
      <c r="K2" s="552"/>
    </row>
    <row r="3" spans="1:12" s="47" customFormat="1" ht="40" customHeight="1" x14ac:dyDescent="0.3">
      <c r="A3" s="45"/>
      <c r="B3" s="45"/>
      <c r="C3" s="45"/>
      <c r="D3" s="45"/>
      <c r="E3" s="45"/>
      <c r="F3" s="45"/>
      <c r="G3" s="45"/>
      <c r="H3" s="45"/>
      <c r="I3" s="45"/>
      <c r="J3" s="45"/>
      <c r="K3" s="45"/>
      <c r="L3" s="46"/>
    </row>
    <row r="4" spans="1:12" ht="40" customHeight="1" x14ac:dyDescent="0.3">
      <c r="A4" s="552" t="s">
        <v>308</v>
      </c>
      <c r="B4" s="552"/>
      <c r="C4" s="552"/>
      <c r="D4" s="552"/>
      <c r="E4" s="552"/>
      <c r="F4" s="45"/>
      <c r="G4" s="552" t="s">
        <v>307</v>
      </c>
      <c r="H4" s="552"/>
      <c r="I4" s="552"/>
      <c r="J4" s="552"/>
      <c r="K4" s="552"/>
    </row>
    <row r="5" spans="1:12" ht="40" customHeight="1" x14ac:dyDescent="0.3">
      <c r="A5" s="468" t="s">
        <v>13</v>
      </c>
      <c r="B5" s="315" t="s">
        <v>299</v>
      </c>
      <c r="C5" s="547" t="s">
        <v>300</v>
      </c>
      <c r="D5" s="548"/>
      <c r="E5" s="42" t="s">
        <v>301</v>
      </c>
      <c r="F5" s="45"/>
      <c r="G5" s="549"/>
      <c r="H5" s="550"/>
      <c r="I5" s="43" t="s">
        <v>305</v>
      </c>
      <c r="J5" s="44" t="s">
        <v>306</v>
      </c>
      <c r="K5" s="42" t="s">
        <v>301</v>
      </c>
      <c r="L5" s="45"/>
    </row>
    <row r="6" spans="1:12" ht="40" customHeight="1" x14ac:dyDescent="0.3">
      <c r="A6" s="105" t="s">
        <v>601</v>
      </c>
      <c r="B6" s="13" t="s">
        <v>627</v>
      </c>
      <c r="C6" s="568" t="s">
        <v>628</v>
      </c>
      <c r="D6" s="568" t="s">
        <v>603</v>
      </c>
      <c r="E6" s="13" t="s">
        <v>629</v>
      </c>
      <c r="F6" s="45" t="s">
        <v>603</v>
      </c>
      <c r="G6" s="569" t="s">
        <v>302</v>
      </c>
      <c r="H6" s="569" t="s">
        <v>603</v>
      </c>
      <c r="I6" s="109" t="s">
        <v>603</v>
      </c>
      <c r="J6" s="110" t="s">
        <v>630</v>
      </c>
      <c r="K6" s="370" t="s">
        <v>629</v>
      </c>
      <c r="L6" s="45"/>
    </row>
    <row r="7" spans="1:12" ht="40" customHeight="1" x14ac:dyDescent="0.3">
      <c r="A7" s="105" t="s">
        <v>605</v>
      </c>
      <c r="B7" s="113" t="s">
        <v>603</v>
      </c>
      <c r="C7" s="590" t="s">
        <v>631</v>
      </c>
      <c r="D7" s="591" t="s">
        <v>603</v>
      </c>
      <c r="E7" s="13" t="s">
        <v>632</v>
      </c>
      <c r="F7" s="45" t="s">
        <v>603</v>
      </c>
      <c r="G7" s="569" t="s">
        <v>303</v>
      </c>
      <c r="H7" s="569" t="s">
        <v>603</v>
      </c>
      <c r="I7" s="13" t="s">
        <v>627</v>
      </c>
      <c r="J7" s="370" t="s">
        <v>628</v>
      </c>
      <c r="K7" s="372" t="s">
        <v>629</v>
      </c>
      <c r="L7" s="45"/>
    </row>
    <row r="8" spans="1:12" ht="40" customHeight="1" x14ac:dyDescent="0.3">
      <c r="A8" s="465" t="s">
        <v>14</v>
      </c>
      <c r="B8" s="537" t="s">
        <v>15</v>
      </c>
      <c r="C8" s="546" t="s">
        <v>603</v>
      </c>
      <c r="D8" s="546" t="s">
        <v>603</v>
      </c>
      <c r="E8" s="538" t="s">
        <v>603</v>
      </c>
      <c r="F8" s="45" t="s">
        <v>603</v>
      </c>
      <c r="G8" s="569" t="s">
        <v>625</v>
      </c>
      <c r="H8" s="569" t="s">
        <v>603</v>
      </c>
      <c r="I8" s="373" t="s">
        <v>603</v>
      </c>
      <c r="J8" s="370" t="s">
        <v>630</v>
      </c>
      <c r="K8" s="372" t="s">
        <v>629</v>
      </c>
      <c r="L8" s="45"/>
    </row>
    <row r="9" spans="1:12" s="47" customFormat="1" ht="40" customHeight="1" x14ac:dyDescent="0.3">
      <c r="A9" s="45" t="s">
        <v>603</v>
      </c>
      <c r="B9" s="45" t="s">
        <v>603</v>
      </c>
      <c r="C9" s="45" t="s">
        <v>603</v>
      </c>
      <c r="D9" s="45" t="s">
        <v>603</v>
      </c>
      <c r="E9" s="45" t="s">
        <v>603</v>
      </c>
      <c r="F9" s="45" t="s">
        <v>603</v>
      </c>
      <c r="G9" s="537" t="s">
        <v>626</v>
      </c>
      <c r="H9" s="538" t="s">
        <v>603</v>
      </c>
      <c r="I9" s="371" t="s">
        <v>603</v>
      </c>
      <c r="J9" s="372" t="s">
        <v>631</v>
      </c>
      <c r="K9" s="13" t="s">
        <v>633</v>
      </c>
      <c r="L9" s="46" t="s">
        <v>603</v>
      </c>
    </row>
    <row r="10" spans="1:12" s="47" customFormat="1" ht="40" customHeight="1" x14ac:dyDescent="0.3">
      <c r="A10" s="45"/>
      <c r="B10" s="45"/>
      <c r="C10" s="45"/>
      <c r="D10" s="518" t="s">
        <v>480</v>
      </c>
      <c r="E10" s="45"/>
      <c r="F10" s="45"/>
      <c r="G10" s="537" t="s">
        <v>14</v>
      </c>
      <c r="H10" s="538" t="s">
        <v>603</v>
      </c>
      <c r="I10" s="537" t="s">
        <v>15</v>
      </c>
      <c r="J10" s="546"/>
      <c r="K10" s="538"/>
      <c r="L10" s="46"/>
    </row>
    <row r="11" spans="1:12"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2" ht="35.049999999999997" customHeight="1" x14ac:dyDescent="0.3">
      <c r="A12" s="10" t="s">
        <v>570</v>
      </c>
      <c r="B12" s="387" t="s">
        <v>1166</v>
      </c>
      <c r="C12" s="375" t="s">
        <v>574</v>
      </c>
      <c r="D12" s="501">
        <v>7.7779999999999996</v>
      </c>
      <c r="E12" s="502">
        <v>0.84399999999999997</v>
      </c>
      <c r="F12" s="503">
        <v>1.6E-2</v>
      </c>
      <c r="G12" s="489">
        <v>21.93</v>
      </c>
      <c r="H12" s="490"/>
      <c r="I12" s="490"/>
      <c r="J12" s="500"/>
      <c r="K12" s="26"/>
    </row>
    <row r="13" spans="1:12" ht="35.049999999999997" customHeight="1" x14ac:dyDescent="0.3">
      <c r="A13" s="10" t="s">
        <v>571</v>
      </c>
      <c r="B13" s="387" t="s">
        <v>1167</v>
      </c>
      <c r="C13" s="375" t="s">
        <v>575</v>
      </c>
      <c r="D13" s="501">
        <v>7.7779999999999996</v>
      </c>
      <c r="E13" s="502">
        <v>0.84399999999999997</v>
      </c>
      <c r="F13" s="503">
        <v>1.6E-2</v>
      </c>
      <c r="G13" s="490"/>
      <c r="H13" s="490"/>
      <c r="I13" s="490"/>
      <c r="J13" s="500"/>
      <c r="K13" s="523"/>
    </row>
    <row r="14" spans="1:12" ht="35.049999999999997" customHeight="1" x14ac:dyDescent="0.3">
      <c r="A14" s="10" t="s">
        <v>745</v>
      </c>
      <c r="B14" s="387" t="s">
        <v>1168</v>
      </c>
      <c r="C14" s="375" t="s">
        <v>576</v>
      </c>
      <c r="D14" s="501">
        <v>10.009</v>
      </c>
      <c r="E14" s="502">
        <v>1.0860000000000001</v>
      </c>
      <c r="F14" s="503">
        <v>2.1000000000000001E-2</v>
      </c>
      <c r="G14" s="489">
        <v>6.22</v>
      </c>
      <c r="H14" s="490"/>
      <c r="I14" s="490"/>
      <c r="J14" s="500"/>
      <c r="K14" s="26"/>
    </row>
    <row r="15" spans="1:12" ht="35.049999999999997" customHeight="1" x14ac:dyDescent="0.3">
      <c r="A15" s="10" t="s">
        <v>746</v>
      </c>
      <c r="B15" s="387" t="s">
        <v>1169</v>
      </c>
      <c r="C15" s="436" t="s">
        <v>930</v>
      </c>
      <c r="D15" s="501">
        <v>10.009</v>
      </c>
      <c r="E15" s="502">
        <v>1.0860000000000001</v>
      </c>
      <c r="F15" s="503">
        <v>2.1000000000000001E-2</v>
      </c>
      <c r="G15" s="489">
        <v>25.15</v>
      </c>
      <c r="H15" s="490"/>
      <c r="I15" s="490"/>
      <c r="J15" s="500"/>
      <c r="K15" s="26"/>
    </row>
    <row r="16" spans="1:12" ht="35.049999999999997" customHeight="1" x14ac:dyDescent="0.3">
      <c r="A16" s="10" t="s">
        <v>747</v>
      </c>
      <c r="B16" s="27" t="s">
        <v>1170</v>
      </c>
      <c r="C16" s="436" t="s">
        <v>930</v>
      </c>
      <c r="D16" s="501">
        <v>10.009</v>
      </c>
      <c r="E16" s="502">
        <v>1.0860000000000001</v>
      </c>
      <c r="F16" s="503">
        <v>2.1000000000000001E-2</v>
      </c>
      <c r="G16" s="489">
        <v>54.2</v>
      </c>
      <c r="H16" s="490"/>
      <c r="I16" s="490"/>
      <c r="J16" s="500"/>
      <c r="K16" s="26"/>
    </row>
    <row r="17" spans="1:11" ht="35.049999999999997" customHeight="1" x14ac:dyDescent="0.3">
      <c r="A17" s="10" t="s">
        <v>748</v>
      </c>
      <c r="B17" s="27" t="s">
        <v>1171</v>
      </c>
      <c r="C17" s="436" t="s">
        <v>930</v>
      </c>
      <c r="D17" s="501">
        <v>10.009</v>
      </c>
      <c r="E17" s="502">
        <v>1.0860000000000001</v>
      </c>
      <c r="F17" s="503">
        <v>2.1000000000000001E-2</v>
      </c>
      <c r="G17" s="489">
        <v>113.18</v>
      </c>
      <c r="H17" s="490"/>
      <c r="I17" s="490"/>
      <c r="J17" s="500"/>
      <c r="K17" s="26"/>
    </row>
    <row r="18" spans="1:11" ht="35.049999999999997" customHeight="1" x14ac:dyDescent="0.3">
      <c r="A18" s="10" t="s">
        <v>749</v>
      </c>
      <c r="B18" s="27" t="s">
        <v>1172</v>
      </c>
      <c r="C18" s="436" t="s">
        <v>930</v>
      </c>
      <c r="D18" s="501">
        <v>10.009</v>
      </c>
      <c r="E18" s="502">
        <v>1.0860000000000001</v>
      </c>
      <c r="F18" s="503">
        <v>2.1000000000000001E-2</v>
      </c>
      <c r="G18" s="489">
        <v>323.14999999999998</v>
      </c>
      <c r="H18" s="490"/>
      <c r="I18" s="490"/>
      <c r="J18" s="500"/>
      <c r="K18" s="26"/>
    </row>
    <row r="19" spans="1:11" ht="35.049999999999997" customHeight="1" x14ac:dyDescent="0.3">
      <c r="A19" s="10" t="s">
        <v>572</v>
      </c>
      <c r="B19" s="27" t="s">
        <v>1173</v>
      </c>
      <c r="C19" s="391" t="s">
        <v>577</v>
      </c>
      <c r="D19" s="501">
        <v>10.009</v>
      </c>
      <c r="E19" s="502">
        <v>1.0860000000000001</v>
      </c>
      <c r="F19" s="503">
        <v>2.1000000000000001E-2</v>
      </c>
      <c r="G19" s="490"/>
      <c r="H19" s="490"/>
      <c r="I19" s="490"/>
      <c r="J19" s="500"/>
      <c r="K19" s="26"/>
    </row>
    <row r="20" spans="1:11" ht="35.049999999999997" customHeight="1" x14ac:dyDescent="0.3">
      <c r="A20" s="10" t="s">
        <v>750</v>
      </c>
      <c r="B20" s="24" t="s">
        <v>1218</v>
      </c>
      <c r="C20" s="395">
        <v>0</v>
      </c>
      <c r="D20" s="501">
        <v>6.548</v>
      </c>
      <c r="E20" s="502">
        <v>0.67300000000000004</v>
      </c>
      <c r="F20" s="503">
        <v>1.2E-2</v>
      </c>
      <c r="G20" s="489">
        <v>24.24</v>
      </c>
      <c r="H20" s="489">
        <v>2.6</v>
      </c>
      <c r="I20" s="396">
        <v>3.78</v>
      </c>
      <c r="J20" s="499">
        <v>0.16700000000000001</v>
      </c>
      <c r="K20" s="26"/>
    </row>
    <row r="21" spans="1:11" ht="35.049999999999997" customHeight="1" x14ac:dyDescent="0.3">
      <c r="A21" s="10" t="s">
        <v>751</v>
      </c>
      <c r="B21" s="26" t="s">
        <v>1174</v>
      </c>
      <c r="C21" s="395">
        <v>0</v>
      </c>
      <c r="D21" s="501">
        <v>6.548</v>
      </c>
      <c r="E21" s="502">
        <v>0.67300000000000004</v>
      </c>
      <c r="F21" s="503">
        <v>1.2E-2</v>
      </c>
      <c r="G21" s="489">
        <v>592.63</v>
      </c>
      <c r="H21" s="489">
        <v>2.6</v>
      </c>
      <c r="I21" s="396">
        <v>3.78</v>
      </c>
      <c r="J21" s="499">
        <v>0.16700000000000001</v>
      </c>
      <c r="K21" s="26"/>
    </row>
    <row r="22" spans="1:11" ht="35.049999999999997" customHeight="1" x14ac:dyDescent="0.3">
      <c r="A22" s="10" t="s">
        <v>752</v>
      </c>
      <c r="B22" s="26" t="s">
        <v>1175</v>
      </c>
      <c r="C22" s="395">
        <v>0</v>
      </c>
      <c r="D22" s="501">
        <v>6.548</v>
      </c>
      <c r="E22" s="502">
        <v>0.67300000000000004</v>
      </c>
      <c r="F22" s="503">
        <v>1.2E-2</v>
      </c>
      <c r="G22" s="489">
        <v>1028.08</v>
      </c>
      <c r="H22" s="489">
        <v>2.6</v>
      </c>
      <c r="I22" s="396">
        <v>3.78</v>
      </c>
      <c r="J22" s="499">
        <v>0.16700000000000001</v>
      </c>
      <c r="K22" s="26"/>
    </row>
    <row r="23" spans="1:11" ht="35.049999999999997" customHeight="1" x14ac:dyDescent="0.3">
      <c r="A23" s="10" t="s">
        <v>753</v>
      </c>
      <c r="B23" s="26" t="s">
        <v>1176</v>
      </c>
      <c r="C23" s="395">
        <v>0</v>
      </c>
      <c r="D23" s="501">
        <v>6.548</v>
      </c>
      <c r="E23" s="502">
        <v>0.67300000000000004</v>
      </c>
      <c r="F23" s="503">
        <v>1.2E-2</v>
      </c>
      <c r="G23" s="489">
        <v>1731.49</v>
      </c>
      <c r="H23" s="489">
        <v>2.6</v>
      </c>
      <c r="I23" s="396">
        <v>3.78</v>
      </c>
      <c r="J23" s="499">
        <v>0.16700000000000001</v>
      </c>
      <c r="K23" s="26"/>
    </row>
    <row r="24" spans="1:11" ht="35.049999999999997" customHeight="1" x14ac:dyDescent="0.3">
      <c r="A24" s="10" t="s">
        <v>754</v>
      </c>
      <c r="B24" s="26" t="s">
        <v>1177</v>
      </c>
      <c r="C24" s="395">
        <v>0</v>
      </c>
      <c r="D24" s="501">
        <v>6.548</v>
      </c>
      <c r="E24" s="502">
        <v>0.67300000000000004</v>
      </c>
      <c r="F24" s="503">
        <v>1.2E-2</v>
      </c>
      <c r="G24" s="489">
        <v>3603.36</v>
      </c>
      <c r="H24" s="489">
        <v>2.6</v>
      </c>
      <c r="I24" s="396">
        <v>3.78</v>
      </c>
      <c r="J24" s="499">
        <v>0.16700000000000001</v>
      </c>
      <c r="K24" s="26"/>
    </row>
    <row r="25" spans="1:11" ht="35.049999999999997" customHeight="1" x14ac:dyDescent="0.3">
      <c r="A25" s="10" t="s">
        <v>755</v>
      </c>
      <c r="B25" s="392"/>
      <c r="C25" s="395">
        <v>0</v>
      </c>
      <c r="D25" s="501">
        <v>3.7589999999999999</v>
      </c>
      <c r="E25" s="502">
        <v>0.32100000000000001</v>
      </c>
      <c r="F25" s="503">
        <v>5.0000000000000001E-3</v>
      </c>
      <c r="G25" s="489">
        <v>8.66</v>
      </c>
      <c r="H25" s="489">
        <v>4.74</v>
      </c>
      <c r="I25" s="396">
        <v>5.4</v>
      </c>
      <c r="J25" s="499">
        <v>7.2999999999999995E-2</v>
      </c>
      <c r="K25" s="26"/>
    </row>
    <row r="26" spans="1:11" ht="35.049999999999997" customHeight="1" x14ac:dyDescent="0.3">
      <c r="A26" s="10" t="s">
        <v>756</v>
      </c>
      <c r="B26" s="392"/>
      <c r="C26" s="395">
        <v>0</v>
      </c>
      <c r="D26" s="501">
        <v>3.7589999999999999</v>
      </c>
      <c r="E26" s="502">
        <v>0.32100000000000001</v>
      </c>
      <c r="F26" s="503">
        <v>5.0000000000000001E-3</v>
      </c>
      <c r="G26" s="489">
        <v>577.04</v>
      </c>
      <c r="H26" s="489">
        <v>4.74</v>
      </c>
      <c r="I26" s="396">
        <v>5.4</v>
      </c>
      <c r="J26" s="499">
        <v>7.2999999999999995E-2</v>
      </c>
      <c r="K26" s="26"/>
    </row>
    <row r="27" spans="1:11" ht="35.049999999999997" customHeight="1" x14ac:dyDescent="0.3">
      <c r="A27" s="10" t="s">
        <v>757</v>
      </c>
      <c r="B27" s="392"/>
      <c r="C27" s="395">
        <v>0</v>
      </c>
      <c r="D27" s="501">
        <v>3.7589999999999999</v>
      </c>
      <c r="E27" s="502">
        <v>0.32100000000000001</v>
      </c>
      <c r="F27" s="503">
        <v>5.0000000000000001E-3</v>
      </c>
      <c r="G27" s="489">
        <v>1012.49</v>
      </c>
      <c r="H27" s="489">
        <v>4.74</v>
      </c>
      <c r="I27" s="396">
        <v>5.4</v>
      </c>
      <c r="J27" s="499">
        <v>7.2999999999999995E-2</v>
      </c>
      <c r="K27" s="26"/>
    </row>
    <row r="28" spans="1:11" ht="35.049999999999997" customHeight="1" x14ac:dyDescent="0.3">
      <c r="A28" s="10" t="s">
        <v>758</v>
      </c>
      <c r="B28" s="392"/>
      <c r="C28" s="395">
        <v>0</v>
      </c>
      <c r="D28" s="501">
        <v>3.7589999999999999</v>
      </c>
      <c r="E28" s="502">
        <v>0.32100000000000001</v>
      </c>
      <c r="F28" s="503">
        <v>5.0000000000000001E-3</v>
      </c>
      <c r="G28" s="489">
        <v>1715.9</v>
      </c>
      <c r="H28" s="489">
        <v>4.74</v>
      </c>
      <c r="I28" s="396">
        <v>5.4</v>
      </c>
      <c r="J28" s="499">
        <v>7.2999999999999995E-2</v>
      </c>
      <c r="K28" s="26"/>
    </row>
    <row r="29" spans="1:11" ht="35.049999999999997" customHeight="1" x14ac:dyDescent="0.3">
      <c r="A29" s="10" t="s">
        <v>759</v>
      </c>
      <c r="B29" s="392"/>
      <c r="C29" s="395">
        <v>0</v>
      </c>
      <c r="D29" s="501">
        <v>3.7589999999999999</v>
      </c>
      <c r="E29" s="502">
        <v>0.32100000000000001</v>
      </c>
      <c r="F29" s="503">
        <v>5.0000000000000001E-3</v>
      </c>
      <c r="G29" s="489">
        <v>3587.77</v>
      </c>
      <c r="H29" s="489">
        <v>4.74</v>
      </c>
      <c r="I29" s="396">
        <v>5.4</v>
      </c>
      <c r="J29" s="499">
        <v>7.2999999999999995E-2</v>
      </c>
      <c r="K29" s="26"/>
    </row>
    <row r="30" spans="1:11" ht="35.049999999999997" customHeight="1" x14ac:dyDescent="0.3">
      <c r="A30" s="10" t="s">
        <v>760</v>
      </c>
      <c r="B30" s="387" t="s">
        <v>1178</v>
      </c>
      <c r="C30" s="395">
        <v>0</v>
      </c>
      <c r="D30" s="501">
        <v>2.6869999999999998</v>
      </c>
      <c r="E30" s="502">
        <v>0.20399999999999999</v>
      </c>
      <c r="F30" s="503">
        <v>3.0000000000000001E-3</v>
      </c>
      <c r="G30" s="489">
        <v>128.88</v>
      </c>
      <c r="H30" s="489">
        <v>5.23</v>
      </c>
      <c r="I30" s="396">
        <v>6.43</v>
      </c>
      <c r="J30" s="499">
        <v>4.2999999999999997E-2</v>
      </c>
      <c r="K30" s="26"/>
    </row>
    <row r="31" spans="1:11" ht="35.049999999999997" customHeight="1" x14ac:dyDescent="0.3">
      <c r="A31" s="10" t="s">
        <v>761</v>
      </c>
      <c r="B31" s="26" t="s">
        <v>1179</v>
      </c>
      <c r="C31" s="395">
        <v>0</v>
      </c>
      <c r="D31" s="501">
        <v>2.6869999999999998</v>
      </c>
      <c r="E31" s="502">
        <v>0.20399999999999999</v>
      </c>
      <c r="F31" s="503">
        <v>3.0000000000000001E-3</v>
      </c>
      <c r="G31" s="489">
        <v>3044.35</v>
      </c>
      <c r="H31" s="489">
        <v>5.23</v>
      </c>
      <c r="I31" s="396">
        <v>6.43</v>
      </c>
      <c r="J31" s="499">
        <v>4.2999999999999997E-2</v>
      </c>
      <c r="K31" s="26"/>
    </row>
    <row r="32" spans="1:11" ht="35.049999999999997" customHeight="1" x14ac:dyDescent="0.3">
      <c r="A32" s="10" t="s">
        <v>762</v>
      </c>
      <c r="B32" s="26" t="s">
        <v>1180</v>
      </c>
      <c r="C32" s="395">
        <v>0</v>
      </c>
      <c r="D32" s="501">
        <v>2.6869999999999998</v>
      </c>
      <c r="E32" s="502">
        <v>0.20399999999999999</v>
      </c>
      <c r="F32" s="503">
        <v>3.0000000000000001E-3</v>
      </c>
      <c r="G32" s="489">
        <v>9149.83</v>
      </c>
      <c r="H32" s="489">
        <v>5.23</v>
      </c>
      <c r="I32" s="396">
        <v>6.43</v>
      </c>
      <c r="J32" s="499">
        <v>4.2999999999999997E-2</v>
      </c>
      <c r="K32" s="26"/>
    </row>
    <row r="33" spans="1:11" ht="35.049999999999997" customHeight="1" x14ac:dyDescent="0.3">
      <c r="A33" s="10" t="s">
        <v>763</v>
      </c>
      <c r="B33" s="26" t="s">
        <v>1181</v>
      </c>
      <c r="C33" s="395">
        <v>0</v>
      </c>
      <c r="D33" s="501">
        <v>2.6869999999999998</v>
      </c>
      <c r="E33" s="502">
        <v>0.20399999999999999</v>
      </c>
      <c r="F33" s="503">
        <v>3.0000000000000001E-3</v>
      </c>
      <c r="G33" s="489">
        <v>18680.099999999999</v>
      </c>
      <c r="H33" s="489">
        <v>5.23</v>
      </c>
      <c r="I33" s="396">
        <v>6.43</v>
      </c>
      <c r="J33" s="499">
        <v>4.2999999999999997E-2</v>
      </c>
      <c r="K33" s="26"/>
    </row>
    <row r="34" spans="1:11" ht="35.049999999999997" customHeight="1" x14ac:dyDescent="0.3">
      <c r="A34" s="10" t="s">
        <v>764</v>
      </c>
      <c r="B34" s="26" t="s">
        <v>1182</v>
      </c>
      <c r="C34" s="395">
        <v>0</v>
      </c>
      <c r="D34" s="501">
        <v>2.6869999999999998</v>
      </c>
      <c r="E34" s="502">
        <v>0.20399999999999999</v>
      </c>
      <c r="F34" s="503">
        <v>3.0000000000000001E-3</v>
      </c>
      <c r="G34" s="489">
        <v>48446.400000000001</v>
      </c>
      <c r="H34" s="489">
        <v>5.23</v>
      </c>
      <c r="I34" s="396">
        <v>6.43</v>
      </c>
      <c r="J34" s="499">
        <v>4.2999999999999997E-2</v>
      </c>
      <c r="K34" s="26"/>
    </row>
    <row r="35" spans="1:11" ht="35.049999999999997" customHeight="1" x14ac:dyDescent="0.3">
      <c r="A35" s="10" t="s">
        <v>573</v>
      </c>
      <c r="B35" s="387" t="s">
        <v>1183</v>
      </c>
      <c r="C35" s="395" t="s">
        <v>616</v>
      </c>
      <c r="D35" s="504">
        <v>22.145</v>
      </c>
      <c r="E35" s="505">
        <v>3.173</v>
      </c>
      <c r="F35" s="503">
        <v>2.375</v>
      </c>
      <c r="G35" s="490"/>
      <c r="H35" s="490"/>
      <c r="I35" s="490"/>
      <c r="J35" s="500"/>
      <c r="K35" s="26"/>
    </row>
    <row r="36" spans="1:11" ht="35.049999999999997" customHeight="1" x14ac:dyDescent="0.3">
      <c r="A36" s="10" t="s">
        <v>617</v>
      </c>
      <c r="B36" s="27" t="s">
        <v>1184</v>
      </c>
      <c r="C36" s="435">
        <v>0</v>
      </c>
      <c r="D36" s="501">
        <v>-6.01</v>
      </c>
      <c r="E36" s="502">
        <v>-0.65200000000000002</v>
      </c>
      <c r="F36" s="503">
        <v>-1.2E-2</v>
      </c>
      <c r="G36" s="489"/>
      <c r="H36" s="490"/>
      <c r="I36" s="490"/>
      <c r="J36" s="500"/>
      <c r="K36" s="26"/>
    </row>
    <row r="37" spans="1:11" ht="35.049999999999997" customHeight="1" x14ac:dyDescent="0.3">
      <c r="A37" s="10" t="s">
        <v>682</v>
      </c>
      <c r="B37" s="392"/>
      <c r="C37" s="395">
        <v>0</v>
      </c>
      <c r="D37" s="501">
        <v>-5.2439999999999998</v>
      </c>
      <c r="E37" s="502">
        <v>-0.55400000000000005</v>
      </c>
      <c r="F37" s="503">
        <v>-0.01</v>
      </c>
      <c r="G37" s="489"/>
      <c r="H37" s="490"/>
      <c r="I37" s="490"/>
      <c r="J37" s="500"/>
      <c r="K37" s="26"/>
    </row>
    <row r="38" spans="1:11" ht="35.049999999999997" customHeight="1" x14ac:dyDescent="0.3">
      <c r="A38" s="10" t="s">
        <v>597</v>
      </c>
      <c r="B38" s="27" t="s">
        <v>1185</v>
      </c>
      <c r="C38" s="395">
        <v>0</v>
      </c>
      <c r="D38" s="501">
        <v>-6.01</v>
      </c>
      <c r="E38" s="502">
        <v>-0.65200000000000002</v>
      </c>
      <c r="F38" s="503">
        <v>-1.2E-2</v>
      </c>
      <c r="G38" s="489"/>
      <c r="H38" s="490"/>
      <c r="I38" s="490"/>
      <c r="J38" s="499">
        <v>0.16</v>
      </c>
      <c r="K38" s="26"/>
    </row>
    <row r="39" spans="1:11" ht="35.049999999999997" customHeight="1" x14ac:dyDescent="0.3">
      <c r="A39" s="10" t="s">
        <v>683</v>
      </c>
      <c r="B39" s="392"/>
      <c r="C39" s="395">
        <v>0</v>
      </c>
      <c r="D39" s="501">
        <v>-6.01</v>
      </c>
      <c r="E39" s="502">
        <v>-0.65200000000000002</v>
      </c>
      <c r="F39" s="503">
        <v>-1.2E-2</v>
      </c>
      <c r="G39" s="489"/>
      <c r="H39" s="490"/>
      <c r="I39" s="490"/>
      <c r="J39" s="500"/>
      <c r="K39" s="26"/>
    </row>
    <row r="40" spans="1:11" ht="35.049999999999997" customHeight="1" x14ac:dyDescent="0.3">
      <c r="A40" s="10" t="s">
        <v>684</v>
      </c>
      <c r="B40" s="392"/>
      <c r="C40" s="395">
        <v>0</v>
      </c>
      <c r="D40" s="501">
        <v>-5.2439999999999998</v>
      </c>
      <c r="E40" s="502">
        <v>-0.55400000000000005</v>
      </c>
      <c r="F40" s="503">
        <v>-0.01</v>
      </c>
      <c r="G40" s="489"/>
      <c r="H40" s="490"/>
      <c r="I40" s="490"/>
      <c r="J40" s="499">
        <v>0.13700000000000001</v>
      </c>
      <c r="K40" s="26"/>
    </row>
    <row r="41" spans="1:11" ht="35.049999999999997" customHeight="1" x14ac:dyDescent="0.3">
      <c r="A41" s="10" t="s">
        <v>685</v>
      </c>
      <c r="B41" s="392"/>
      <c r="C41" s="395">
        <v>0</v>
      </c>
      <c r="D41" s="501">
        <v>-5.2439999999999998</v>
      </c>
      <c r="E41" s="502">
        <v>-0.55400000000000005</v>
      </c>
      <c r="F41" s="503">
        <v>-0.01</v>
      </c>
      <c r="G41" s="489"/>
      <c r="H41" s="490"/>
      <c r="I41" s="490"/>
      <c r="J41" s="500"/>
      <c r="K41" s="26"/>
    </row>
    <row r="42" spans="1:11" ht="35.049999999999997" customHeight="1" x14ac:dyDescent="0.3">
      <c r="A42" s="10" t="s">
        <v>598</v>
      </c>
      <c r="B42" s="26" t="s">
        <v>1186</v>
      </c>
      <c r="C42" s="395">
        <v>0</v>
      </c>
      <c r="D42" s="501">
        <v>-3.2989999999999999</v>
      </c>
      <c r="E42" s="502">
        <v>-0.28000000000000003</v>
      </c>
      <c r="F42" s="503">
        <v>-4.0000000000000001E-3</v>
      </c>
      <c r="G42" s="489">
        <v>94</v>
      </c>
      <c r="H42" s="490"/>
      <c r="I42" s="490"/>
      <c r="J42" s="499">
        <v>0.109</v>
      </c>
      <c r="K42" s="26"/>
    </row>
    <row r="43" spans="1:11" ht="35.049999999999997" customHeight="1" x14ac:dyDescent="0.3">
      <c r="A43" s="10" t="s">
        <v>681</v>
      </c>
      <c r="B43" s="392"/>
      <c r="C43" s="395">
        <v>0</v>
      </c>
      <c r="D43" s="501">
        <v>-3.2989999999999999</v>
      </c>
      <c r="E43" s="502">
        <v>-0.28000000000000003</v>
      </c>
      <c r="F43" s="503">
        <v>-4.0000000000000001E-3</v>
      </c>
      <c r="G43" s="489">
        <v>94</v>
      </c>
      <c r="H43" s="490"/>
      <c r="I43" s="490"/>
      <c r="J43" s="500"/>
      <c r="K43" s="26"/>
    </row>
  </sheetData>
  <mergeCells count="15">
    <mergeCell ref="G10:H10"/>
    <mergeCell ref="I10:K10"/>
    <mergeCell ref="E1:K1"/>
    <mergeCell ref="A2:K2"/>
    <mergeCell ref="A4:E4"/>
    <mergeCell ref="G4:K4"/>
    <mergeCell ref="C5:D5"/>
    <mergeCell ref="G5:H5"/>
    <mergeCell ref="G9:H9"/>
    <mergeCell ref="C6:D6"/>
    <mergeCell ref="G6:H6"/>
    <mergeCell ref="C7:D7"/>
    <mergeCell ref="G7:H7"/>
    <mergeCell ref="B8:E8"/>
    <mergeCell ref="G8:H8"/>
  </mergeCells>
  <hyperlinks>
    <hyperlink ref="A1" location="Overview!A1" display="Back to Overview" xr:uid="{E23F623A-CEC1-4501-8079-1B0D790E7D8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35ED-718B-4A79-8387-704EC18BF729}">
  <sheetPr codeName="Sheet17">
    <pageSetUpPr fitToPage="1"/>
  </sheetPr>
  <dimension ref="A1:AX43"/>
  <sheetViews>
    <sheetView zoomScale="50" zoomScaleNormal="50" workbookViewId="0">
      <selection activeCell="F10" sqref="F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6" t="s">
        <v>19</v>
      </c>
      <c r="B1" s="45"/>
      <c r="C1" s="45"/>
      <c r="D1" s="45"/>
      <c r="E1" s="551" t="s">
        <v>463</v>
      </c>
      <c r="F1" s="551"/>
      <c r="G1" s="551"/>
      <c r="H1" s="551"/>
      <c r="I1" s="551"/>
      <c r="J1" s="551"/>
      <c r="K1" s="551"/>
      <c r="L1" s="31"/>
    </row>
    <row r="2" spans="1:12" ht="40" customHeight="1" x14ac:dyDescent="0.3">
      <c r="A2" s="552" t="str">
        <f>Overview!B4&amp;" - Effective from "&amp;Overview!D4&amp;" - Final LV and HV charges in SSE SHEPD Area (GSP Group_P)"</f>
        <v>Indigo Power Limited - Effective from 1 April 2023 - Final LV and HV charges in SSE SHEPD Area (GSP Group_P)</v>
      </c>
      <c r="B2" s="552"/>
      <c r="C2" s="552"/>
      <c r="D2" s="552"/>
      <c r="E2" s="552"/>
      <c r="F2" s="552"/>
      <c r="G2" s="552"/>
      <c r="H2" s="552"/>
      <c r="I2" s="552"/>
      <c r="J2" s="552"/>
      <c r="K2" s="552"/>
    </row>
    <row r="3" spans="1:12" s="47" customFormat="1" ht="40" customHeight="1" x14ac:dyDescent="0.3">
      <c r="A3" s="45"/>
      <c r="B3" s="45"/>
      <c r="C3" s="45"/>
      <c r="D3" s="45"/>
      <c r="E3" s="45"/>
      <c r="F3" s="45"/>
      <c r="G3" s="45"/>
      <c r="H3" s="45"/>
      <c r="I3" s="45"/>
      <c r="J3" s="45"/>
      <c r="K3" s="45"/>
      <c r="L3" s="46"/>
    </row>
    <row r="4" spans="1:12" ht="40" customHeight="1" x14ac:dyDescent="0.3">
      <c r="A4" s="552" t="s">
        <v>308</v>
      </c>
      <c r="B4" s="552"/>
      <c r="C4" s="552"/>
      <c r="D4" s="552"/>
      <c r="E4" s="552"/>
      <c r="F4" s="45"/>
      <c r="G4" s="552" t="s">
        <v>307</v>
      </c>
      <c r="H4" s="552"/>
      <c r="I4" s="552"/>
      <c r="J4" s="552"/>
      <c r="K4" s="552"/>
    </row>
    <row r="5" spans="1:12" ht="40" customHeight="1" x14ac:dyDescent="0.3">
      <c r="A5" s="468" t="s">
        <v>13</v>
      </c>
      <c r="B5" s="315" t="s">
        <v>299</v>
      </c>
      <c r="C5" s="547" t="s">
        <v>300</v>
      </c>
      <c r="D5" s="548"/>
      <c r="E5" s="42" t="s">
        <v>301</v>
      </c>
      <c r="F5" s="45"/>
      <c r="G5" s="549"/>
      <c r="H5" s="550"/>
      <c r="I5" s="43" t="s">
        <v>305</v>
      </c>
      <c r="J5" s="44" t="s">
        <v>306</v>
      </c>
      <c r="K5" s="42" t="s">
        <v>301</v>
      </c>
      <c r="L5" s="45"/>
    </row>
    <row r="6" spans="1:12" ht="40" customHeight="1" x14ac:dyDescent="0.3">
      <c r="A6" s="105" t="s">
        <v>601</v>
      </c>
      <c r="B6" s="13" t="s">
        <v>465</v>
      </c>
      <c r="C6" s="577" t="s">
        <v>603</v>
      </c>
      <c r="D6" s="577" t="s">
        <v>603</v>
      </c>
      <c r="E6" s="310" t="s">
        <v>603</v>
      </c>
      <c r="F6" s="45" t="s">
        <v>603</v>
      </c>
      <c r="G6" s="569" t="s">
        <v>649</v>
      </c>
      <c r="H6" s="569" t="s">
        <v>603</v>
      </c>
      <c r="I6" s="310" t="s">
        <v>603</v>
      </c>
      <c r="J6" s="309" t="s">
        <v>676</v>
      </c>
      <c r="K6" s="310" t="s">
        <v>603</v>
      </c>
      <c r="L6" s="45"/>
    </row>
    <row r="7" spans="1:12" ht="40" customHeight="1" x14ac:dyDescent="0.3">
      <c r="A7" s="105" t="s">
        <v>601</v>
      </c>
      <c r="B7" s="310" t="s">
        <v>603</v>
      </c>
      <c r="C7" s="542" t="s">
        <v>677</v>
      </c>
      <c r="D7" s="543" t="s">
        <v>603</v>
      </c>
      <c r="E7" s="310" t="s">
        <v>603</v>
      </c>
      <c r="F7" s="45" t="s">
        <v>603</v>
      </c>
      <c r="G7" s="569" t="s">
        <v>652</v>
      </c>
      <c r="H7" s="569" t="s">
        <v>603</v>
      </c>
      <c r="I7" s="307" t="s">
        <v>465</v>
      </c>
      <c r="J7" s="309" t="s">
        <v>677</v>
      </c>
      <c r="K7" s="310" t="s">
        <v>603</v>
      </c>
      <c r="L7" s="45"/>
    </row>
    <row r="8" spans="1:12" ht="40" customHeight="1" x14ac:dyDescent="0.3">
      <c r="A8" s="105" t="s">
        <v>601</v>
      </c>
      <c r="B8" s="310" t="s">
        <v>603</v>
      </c>
      <c r="C8" s="577" t="s">
        <v>603</v>
      </c>
      <c r="D8" s="577" t="s">
        <v>603</v>
      </c>
      <c r="E8" s="311" t="s">
        <v>678</v>
      </c>
      <c r="F8" s="45" t="s">
        <v>603</v>
      </c>
      <c r="G8" s="569" t="s">
        <v>654</v>
      </c>
      <c r="H8" s="569" t="s">
        <v>603</v>
      </c>
      <c r="I8" s="310" t="s">
        <v>603</v>
      </c>
      <c r="J8" s="310" t="s">
        <v>603</v>
      </c>
      <c r="K8" s="311" t="s">
        <v>678</v>
      </c>
      <c r="L8" s="45"/>
    </row>
    <row r="9" spans="1:12" ht="40" customHeight="1" x14ac:dyDescent="0.3">
      <c r="A9" s="464" t="s">
        <v>605</v>
      </c>
      <c r="B9" s="310" t="s">
        <v>603</v>
      </c>
      <c r="C9" s="578" t="s">
        <v>679</v>
      </c>
      <c r="D9" s="578" t="s">
        <v>603</v>
      </c>
      <c r="E9" s="311" t="s">
        <v>680</v>
      </c>
      <c r="F9" s="45" t="s">
        <v>603</v>
      </c>
      <c r="G9" s="569" t="s">
        <v>657</v>
      </c>
      <c r="H9" s="569" t="s">
        <v>603</v>
      </c>
      <c r="I9" s="310" t="s">
        <v>603</v>
      </c>
      <c r="J9" s="309" t="s">
        <v>679</v>
      </c>
      <c r="K9" s="311" t="s">
        <v>680</v>
      </c>
      <c r="L9" s="45"/>
    </row>
    <row r="10" spans="1:12" s="47" customFormat="1" ht="40" customHeight="1" x14ac:dyDescent="0.3">
      <c r="A10" s="465" t="s">
        <v>14</v>
      </c>
      <c r="B10" s="537" t="s">
        <v>15</v>
      </c>
      <c r="C10" s="546" t="s">
        <v>603</v>
      </c>
      <c r="D10" s="546" t="s">
        <v>603</v>
      </c>
      <c r="E10" s="538" t="s">
        <v>603</v>
      </c>
      <c r="F10" s="518" t="s">
        <v>480</v>
      </c>
      <c r="G10" s="569" t="s">
        <v>14</v>
      </c>
      <c r="H10" s="569" t="s">
        <v>603</v>
      </c>
      <c r="I10" s="569" t="s">
        <v>15</v>
      </c>
      <c r="J10" s="569" t="s">
        <v>603</v>
      </c>
      <c r="K10" s="569" t="s">
        <v>603</v>
      </c>
      <c r="L10" s="46"/>
    </row>
    <row r="11" spans="1:12"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2" ht="35.049999999999997" customHeight="1" x14ac:dyDescent="0.3">
      <c r="A12" s="10" t="s">
        <v>570</v>
      </c>
      <c r="B12" s="387" t="s">
        <v>1187</v>
      </c>
      <c r="C12" s="375" t="s">
        <v>574</v>
      </c>
      <c r="D12" s="501">
        <v>7.9219999999999997</v>
      </c>
      <c r="E12" s="502">
        <v>2.2000000000000002</v>
      </c>
      <c r="F12" s="503">
        <v>0.625</v>
      </c>
      <c r="G12" s="489">
        <v>19.260000000000002</v>
      </c>
      <c r="H12" s="490"/>
      <c r="I12" s="490"/>
      <c r="J12" s="500"/>
      <c r="K12" s="26"/>
    </row>
    <row r="13" spans="1:12" ht="35.049999999999997" customHeight="1" x14ac:dyDescent="0.3">
      <c r="A13" s="10" t="s">
        <v>571</v>
      </c>
      <c r="B13" s="387" t="s">
        <v>1188</v>
      </c>
      <c r="C13" s="375" t="s">
        <v>575</v>
      </c>
      <c r="D13" s="501">
        <v>7.9219999999999997</v>
      </c>
      <c r="E13" s="502">
        <v>2.2000000000000002</v>
      </c>
      <c r="F13" s="503">
        <v>0.625</v>
      </c>
      <c r="G13" s="490"/>
      <c r="H13" s="490"/>
      <c r="I13" s="490"/>
      <c r="J13" s="500"/>
      <c r="K13" s="26"/>
    </row>
    <row r="14" spans="1:12" ht="35.049999999999997" customHeight="1" x14ac:dyDescent="0.3">
      <c r="A14" s="10" t="s">
        <v>745</v>
      </c>
      <c r="B14" s="387" t="s">
        <v>1189</v>
      </c>
      <c r="C14" s="375" t="s">
        <v>576</v>
      </c>
      <c r="D14" s="501">
        <v>9.6869999999999994</v>
      </c>
      <c r="E14" s="502">
        <v>2.69</v>
      </c>
      <c r="F14" s="503">
        <v>0.76500000000000001</v>
      </c>
      <c r="G14" s="489">
        <v>13.32</v>
      </c>
      <c r="H14" s="490"/>
      <c r="I14" s="490"/>
      <c r="J14" s="500"/>
      <c r="K14" s="26"/>
    </row>
    <row r="15" spans="1:12" ht="35.049999999999997" customHeight="1" x14ac:dyDescent="0.3">
      <c r="A15" s="10" t="s">
        <v>746</v>
      </c>
      <c r="B15" s="387" t="s">
        <v>1190</v>
      </c>
      <c r="C15" s="436" t="s">
        <v>930</v>
      </c>
      <c r="D15" s="501">
        <v>9.6869999999999994</v>
      </c>
      <c r="E15" s="502">
        <v>2.69</v>
      </c>
      <c r="F15" s="503">
        <v>0.76500000000000001</v>
      </c>
      <c r="G15" s="489">
        <v>19.350000000000001</v>
      </c>
      <c r="H15" s="490"/>
      <c r="I15" s="490"/>
      <c r="J15" s="500"/>
      <c r="K15" s="26"/>
    </row>
    <row r="16" spans="1:12" ht="35.049999999999997" customHeight="1" x14ac:dyDescent="0.3">
      <c r="A16" s="10" t="s">
        <v>747</v>
      </c>
      <c r="B16" s="27" t="s">
        <v>1191</v>
      </c>
      <c r="C16" s="436" t="s">
        <v>930</v>
      </c>
      <c r="D16" s="501">
        <v>9.6869999999999994</v>
      </c>
      <c r="E16" s="502">
        <v>2.69</v>
      </c>
      <c r="F16" s="503">
        <v>0.76500000000000001</v>
      </c>
      <c r="G16" s="489">
        <v>31.61</v>
      </c>
      <c r="H16" s="490"/>
      <c r="I16" s="490"/>
      <c r="J16" s="500"/>
      <c r="K16" s="26"/>
    </row>
    <row r="17" spans="1:50" s="3" customFormat="1" ht="35.049999999999997" customHeight="1" x14ac:dyDescent="0.3">
      <c r="A17" s="10" t="s">
        <v>748</v>
      </c>
      <c r="B17" s="27" t="s">
        <v>1192</v>
      </c>
      <c r="C17" s="436" t="s">
        <v>930</v>
      </c>
      <c r="D17" s="501">
        <v>9.6869999999999994</v>
      </c>
      <c r="E17" s="502">
        <v>2.69</v>
      </c>
      <c r="F17" s="503">
        <v>0.76500000000000001</v>
      </c>
      <c r="G17" s="489">
        <v>49.66</v>
      </c>
      <c r="H17" s="490"/>
      <c r="I17" s="490"/>
      <c r="J17" s="500"/>
      <c r="K17" s="26"/>
    </row>
    <row r="18" spans="1:50" s="3" customFormat="1" ht="35.049999999999997" customHeight="1" x14ac:dyDescent="0.3">
      <c r="A18" s="10" t="s">
        <v>749</v>
      </c>
      <c r="B18" s="27" t="s">
        <v>1193</v>
      </c>
      <c r="C18" s="436" t="s">
        <v>930</v>
      </c>
      <c r="D18" s="501">
        <v>9.6869999999999994</v>
      </c>
      <c r="E18" s="502">
        <v>2.69</v>
      </c>
      <c r="F18" s="503">
        <v>0.76500000000000001</v>
      </c>
      <c r="G18" s="489">
        <v>109.22</v>
      </c>
      <c r="H18" s="490"/>
      <c r="I18" s="490"/>
      <c r="J18" s="500"/>
      <c r="K18" s="26"/>
    </row>
    <row r="19" spans="1:50" s="3" customFormat="1" ht="35.049999999999997" customHeight="1" x14ac:dyDescent="0.3">
      <c r="A19" s="10" t="s">
        <v>572</v>
      </c>
      <c r="B19" s="27" t="s">
        <v>1194</v>
      </c>
      <c r="C19" s="391" t="s">
        <v>577</v>
      </c>
      <c r="D19" s="501">
        <v>9.6869999999999994</v>
      </c>
      <c r="E19" s="502">
        <v>2.69</v>
      </c>
      <c r="F19" s="503">
        <v>0.76500000000000001</v>
      </c>
      <c r="G19" s="490"/>
      <c r="H19" s="490"/>
      <c r="I19" s="490"/>
      <c r="J19" s="500"/>
      <c r="K19" s="26"/>
    </row>
    <row r="20" spans="1:50" ht="35.049999999999997" customHeight="1" x14ac:dyDescent="0.3">
      <c r="A20" s="10" t="s">
        <v>750</v>
      </c>
      <c r="B20" s="24" t="s">
        <v>1219</v>
      </c>
      <c r="C20" s="395">
        <v>0</v>
      </c>
      <c r="D20" s="501">
        <v>6.5069999999999997</v>
      </c>
      <c r="E20" s="502">
        <v>1.7410000000000001</v>
      </c>
      <c r="F20" s="503">
        <v>0.51200000000000001</v>
      </c>
      <c r="G20" s="489">
        <v>33.32</v>
      </c>
      <c r="H20" s="489">
        <v>6.68</v>
      </c>
      <c r="I20" s="396">
        <v>10.93</v>
      </c>
      <c r="J20" s="499">
        <v>0.28199999999999997</v>
      </c>
      <c r="K20" s="26"/>
      <c r="M20" s="410"/>
      <c r="N20" s="410"/>
      <c r="O20" s="410"/>
      <c r="P20" s="410"/>
      <c r="Q20" s="410"/>
      <c r="R20" s="410"/>
      <c r="S20" s="410"/>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ht="35.049999999999997" customHeight="1" x14ac:dyDescent="0.3">
      <c r="A21" s="10" t="s">
        <v>751</v>
      </c>
      <c r="B21" s="26" t="s">
        <v>1195</v>
      </c>
      <c r="C21" s="395">
        <v>0</v>
      </c>
      <c r="D21" s="501">
        <v>6.5069999999999997</v>
      </c>
      <c r="E21" s="502">
        <v>1.7410000000000001</v>
      </c>
      <c r="F21" s="503">
        <v>0.51200000000000001</v>
      </c>
      <c r="G21" s="489">
        <v>246.3</v>
      </c>
      <c r="H21" s="489">
        <v>6.68</v>
      </c>
      <c r="I21" s="396">
        <v>10.93</v>
      </c>
      <c r="J21" s="499">
        <v>0.28199999999999997</v>
      </c>
      <c r="K21" s="26"/>
      <c r="M21" s="410"/>
      <c r="N21" s="410"/>
      <c r="O21" s="410"/>
      <c r="P21" s="410"/>
      <c r="Q21" s="410"/>
      <c r="R21" s="410"/>
      <c r="S21" s="410"/>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ht="35.049999999999997" customHeight="1" x14ac:dyDescent="0.3">
      <c r="A22" s="10" t="s">
        <v>752</v>
      </c>
      <c r="B22" s="26" t="s">
        <v>1196</v>
      </c>
      <c r="C22" s="395">
        <v>0</v>
      </c>
      <c r="D22" s="501">
        <v>6.5069999999999997</v>
      </c>
      <c r="E22" s="502">
        <v>1.7410000000000001</v>
      </c>
      <c r="F22" s="503">
        <v>0.51200000000000001</v>
      </c>
      <c r="G22" s="489">
        <v>420.38</v>
      </c>
      <c r="H22" s="489">
        <v>6.68</v>
      </c>
      <c r="I22" s="396">
        <v>10.93</v>
      </c>
      <c r="J22" s="499">
        <v>0.28199999999999997</v>
      </c>
      <c r="K22" s="26"/>
      <c r="M22" s="410"/>
      <c r="N22" s="410"/>
      <c r="O22" s="410"/>
      <c r="P22" s="410"/>
      <c r="Q22" s="410"/>
      <c r="R22" s="410"/>
      <c r="S22" s="410"/>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1:50" ht="35.049999999999997" customHeight="1" x14ac:dyDescent="0.3">
      <c r="A23" s="10" t="s">
        <v>753</v>
      </c>
      <c r="B23" s="26" t="s">
        <v>1197</v>
      </c>
      <c r="C23" s="395">
        <v>0</v>
      </c>
      <c r="D23" s="501">
        <v>6.5069999999999997</v>
      </c>
      <c r="E23" s="502">
        <v>1.7410000000000001</v>
      </c>
      <c r="F23" s="503">
        <v>0.51200000000000001</v>
      </c>
      <c r="G23" s="489">
        <v>677.82</v>
      </c>
      <c r="H23" s="489">
        <v>6.68</v>
      </c>
      <c r="I23" s="396">
        <v>10.93</v>
      </c>
      <c r="J23" s="499">
        <v>0.28199999999999997</v>
      </c>
      <c r="K23" s="26"/>
      <c r="M23" s="410"/>
      <c r="N23" s="410"/>
      <c r="O23" s="410"/>
      <c r="P23" s="410"/>
      <c r="Q23" s="410"/>
      <c r="R23" s="410"/>
      <c r="S23" s="410"/>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ht="35.049999999999997" customHeight="1" x14ac:dyDescent="0.3">
      <c r="A24" s="10" t="s">
        <v>754</v>
      </c>
      <c r="B24" s="26" t="s">
        <v>1198</v>
      </c>
      <c r="C24" s="395">
        <v>0</v>
      </c>
      <c r="D24" s="501">
        <v>6.5069999999999997</v>
      </c>
      <c r="E24" s="502">
        <v>1.7410000000000001</v>
      </c>
      <c r="F24" s="503">
        <v>0.51200000000000001</v>
      </c>
      <c r="G24" s="489">
        <v>1523.55</v>
      </c>
      <c r="H24" s="489">
        <v>6.68</v>
      </c>
      <c r="I24" s="396">
        <v>10.93</v>
      </c>
      <c r="J24" s="499">
        <v>0.28199999999999997</v>
      </c>
      <c r="K24" s="26"/>
      <c r="M24" s="410"/>
      <c r="N24" s="410"/>
      <c r="O24" s="410"/>
      <c r="P24" s="410"/>
      <c r="Q24" s="410"/>
      <c r="R24" s="410"/>
      <c r="S24" s="410"/>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s="3" customFormat="1" ht="35.049999999999997" customHeight="1" x14ac:dyDescent="0.3">
      <c r="A25" s="10" t="s">
        <v>755</v>
      </c>
      <c r="B25" s="392"/>
      <c r="C25" s="395">
        <v>0</v>
      </c>
      <c r="D25" s="501">
        <v>3.641</v>
      </c>
      <c r="E25" s="502">
        <v>0.81799999999999995</v>
      </c>
      <c r="F25" s="503">
        <v>0.28100000000000003</v>
      </c>
      <c r="G25" s="489">
        <v>89.59</v>
      </c>
      <c r="H25" s="489">
        <v>10.49</v>
      </c>
      <c r="I25" s="396">
        <v>13.77</v>
      </c>
      <c r="J25" s="499">
        <v>0.127</v>
      </c>
      <c r="K25" s="26"/>
    </row>
    <row r="26" spans="1:50" s="3" customFormat="1" ht="35.049999999999997" customHeight="1" x14ac:dyDescent="0.3">
      <c r="A26" s="10" t="s">
        <v>756</v>
      </c>
      <c r="B26" s="392"/>
      <c r="C26" s="395">
        <v>0</v>
      </c>
      <c r="D26" s="501">
        <v>3.641</v>
      </c>
      <c r="E26" s="502">
        <v>0.81799999999999995</v>
      </c>
      <c r="F26" s="503">
        <v>0.28100000000000003</v>
      </c>
      <c r="G26" s="489">
        <v>302.57</v>
      </c>
      <c r="H26" s="489">
        <v>10.49</v>
      </c>
      <c r="I26" s="396">
        <v>13.77</v>
      </c>
      <c r="J26" s="499">
        <v>0.127</v>
      </c>
      <c r="K26" s="26"/>
    </row>
    <row r="27" spans="1:50" ht="35.049999999999997" customHeight="1" x14ac:dyDescent="0.3">
      <c r="A27" s="10" t="s">
        <v>757</v>
      </c>
      <c r="B27" s="392"/>
      <c r="C27" s="395">
        <v>0</v>
      </c>
      <c r="D27" s="501">
        <v>3.641</v>
      </c>
      <c r="E27" s="502">
        <v>0.81799999999999995</v>
      </c>
      <c r="F27" s="503">
        <v>0.28100000000000003</v>
      </c>
      <c r="G27" s="489">
        <v>476.65</v>
      </c>
      <c r="H27" s="489">
        <v>10.49</v>
      </c>
      <c r="I27" s="396">
        <v>13.77</v>
      </c>
      <c r="J27" s="499">
        <v>0.127</v>
      </c>
      <c r="K27" s="26"/>
      <c r="M27" s="410"/>
      <c r="N27" s="410"/>
      <c r="O27" s="410"/>
      <c r="P27" s="410"/>
      <c r="Q27" s="410"/>
      <c r="R27" s="410"/>
      <c r="S27" s="410"/>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row>
    <row r="28" spans="1:50" s="3" customFormat="1" ht="35.049999999999997" customHeight="1" x14ac:dyDescent="0.3">
      <c r="A28" s="10" t="s">
        <v>758</v>
      </c>
      <c r="B28" s="392"/>
      <c r="C28" s="395">
        <v>0</v>
      </c>
      <c r="D28" s="501">
        <v>3.641</v>
      </c>
      <c r="E28" s="502">
        <v>0.81799999999999995</v>
      </c>
      <c r="F28" s="503">
        <v>0.28100000000000003</v>
      </c>
      <c r="G28" s="489">
        <v>734.08</v>
      </c>
      <c r="H28" s="489">
        <v>10.49</v>
      </c>
      <c r="I28" s="396">
        <v>13.77</v>
      </c>
      <c r="J28" s="499">
        <v>0.127</v>
      </c>
      <c r="K28" s="26"/>
    </row>
    <row r="29" spans="1:50" s="3" customFormat="1" ht="35.049999999999997" customHeight="1" x14ac:dyDescent="0.3">
      <c r="A29" s="10" t="s">
        <v>759</v>
      </c>
      <c r="B29" s="392"/>
      <c r="C29" s="395">
        <v>0</v>
      </c>
      <c r="D29" s="501">
        <v>3.641</v>
      </c>
      <c r="E29" s="502">
        <v>0.81799999999999995</v>
      </c>
      <c r="F29" s="503">
        <v>0.28100000000000003</v>
      </c>
      <c r="G29" s="489">
        <v>1579.82</v>
      </c>
      <c r="H29" s="489">
        <v>10.49</v>
      </c>
      <c r="I29" s="396">
        <v>13.77</v>
      </c>
      <c r="J29" s="499">
        <v>0.127</v>
      </c>
      <c r="K29" s="26"/>
    </row>
    <row r="30" spans="1:50" s="3" customFormat="1" ht="35.049999999999997" customHeight="1" x14ac:dyDescent="0.3">
      <c r="A30" s="10" t="s">
        <v>760</v>
      </c>
      <c r="B30" s="387" t="s">
        <v>1199</v>
      </c>
      <c r="C30" s="395">
        <v>0</v>
      </c>
      <c r="D30" s="501">
        <v>1.8939999999999999</v>
      </c>
      <c r="E30" s="502">
        <v>0.41</v>
      </c>
      <c r="F30" s="503">
        <v>0.184</v>
      </c>
      <c r="G30" s="489">
        <v>393.96</v>
      </c>
      <c r="H30" s="489">
        <v>13.9</v>
      </c>
      <c r="I30" s="396">
        <v>15.94</v>
      </c>
      <c r="J30" s="499">
        <v>7.5999999999999998E-2</v>
      </c>
      <c r="K30" s="26"/>
    </row>
    <row r="31" spans="1:50" s="3" customFormat="1" ht="35.049999999999997" customHeight="1" x14ac:dyDescent="0.3">
      <c r="A31" s="10" t="s">
        <v>761</v>
      </c>
      <c r="B31" s="26" t="s">
        <v>1200</v>
      </c>
      <c r="C31" s="395">
        <v>0</v>
      </c>
      <c r="D31" s="501">
        <v>1.8939999999999999</v>
      </c>
      <c r="E31" s="502">
        <v>0.41</v>
      </c>
      <c r="F31" s="503">
        <v>0.184</v>
      </c>
      <c r="G31" s="489">
        <v>854.82</v>
      </c>
      <c r="H31" s="489">
        <v>13.9</v>
      </c>
      <c r="I31" s="396">
        <v>15.94</v>
      </c>
      <c r="J31" s="499">
        <v>7.5999999999999998E-2</v>
      </c>
      <c r="K31" s="26"/>
    </row>
    <row r="32" spans="1:50" s="3" customFormat="1" ht="35.049999999999997" customHeight="1" x14ac:dyDescent="0.3">
      <c r="A32" s="10" t="s">
        <v>762</v>
      </c>
      <c r="B32" s="26" t="s">
        <v>1201</v>
      </c>
      <c r="C32" s="395">
        <v>0</v>
      </c>
      <c r="D32" s="501">
        <v>1.8939999999999999</v>
      </c>
      <c r="E32" s="502">
        <v>0.41</v>
      </c>
      <c r="F32" s="503">
        <v>0.184</v>
      </c>
      <c r="G32" s="489">
        <v>3310.7</v>
      </c>
      <c r="H32" s="489">
        <v>13.9</v>
      </c>
      <c r="I32" s="396">
        <v>15.94</v>
      </c>
      <c r="J32" s="499">
        <v>7.5999999999999998E-2</v>
      </c>
      <c r="K32" s="26"/>
    </row>
    <row r="33" spans="1:11" s="3" customFormat="1" ht="35.049999999999997" customHeight="1" x14ac:dyDescent="0.3">
      <c r="A33" s="10" t="s">
        <v>763</v>
      </c>
      <c r="B33" s="26" t="s">
        <v>1202</v>
      </c>
      <c r="C33" s="395">
        <v>0</v>
      </c>
      <c r="D33" s="501">
        <v>1.8939999999999999</v>
      </c>
      <c r="E33" s="502">
        <v>0.41</v>
      </c>
      <c r="F33" s="503">
        <v>0.184</v>
      </c>
      <c r="G33" s="489">
        <v>7379.05</v>
      </c>
      <c r="H33" s="489">
        <v>13.9</v>
      </c>
      <c r="I33" s="396">
        <v>15.94</v>
      </c>
      <c r="J33" s="499">
        <v>7.5999999999999998E-2</v>
      </c>
      <c r="K33" s="26"/>
    </row>
    <row r="34" spans="1:11" s="3" customFormat="1" ht="35.049999999999997" customHeight="1" x14ac:dyDescent="0.3">
      <c r="A34" s="10" t="s">
        <v>764</v>
      </c>
      <c r="B34" s="26" t="s">
        <v>1203</v>
      </c>
      <c r="C34" s="395">
        <v>0</v>
      </c>
      <c r="D34" s="501">
        <v>1.8939999999999999</v>
      </c>
      <c r="E34" s="502">
        <v>0.41</v>
      </c>
      <c r="F34" s="503">
        <v>0.184</v>
      </c>
      <c r="G34" s="489">
        <v>14822.48</v>
      </c>
      <c r="H34" s="489">
        <v>13.9</v>
      </c>
      <c r="I34" s="396">
        <v>15.94</v>
      </c>
      <c r="J34" s="499">
        <v>7.5999999999999998E-2</v>
      </c>
      <c r="K34" s="26"/>
    </row>
    <row r="35" spans="1:11" s="3" customFormat="1" ht="35.049999999999997" customHeight="1" x14ac:dyDescent="0.3">
      <c r="A35" s="10" t="s">
        <v>573</v>
      </c>
      <c r="B35" s="387" t="s">
        <v>1204</v>
      </c>
      <c r="C35" s="395" t="s">
        <v>616</v>
      </c>
      <c r="D35" s="504">
        <v>15.207000000000001</v>
      </c>
      <c r="E35" s="505">
        <v>5.1429999999999998</v>
      </c>
      <c r="F35" s="503">
        <v>4.2</v>
      </c>
      <c r="G35" s="490"/>
      <c r="H35" s="490"/>
      <c r="I35" s="490"/>
      <c r="J35" s="500"/>
      <c r="K35" s="26"/>
    </row>
    <row r="36" spans="1:11" s="3" customFormat="1" ht="35.049999999999997" customHeight="1" x14ac:dyDescent="0.3">
      <c r="A36" s="10" t="s">
        <v>617</v>
      </c>
      <c r="B36" s="27" t="s">
        <v>1205</v>
      </c>
      <c r="C36" s="435">
        <v>0</v>
      </c>
      <c r="D36" s="501">
        <v>-6.2619999999999996</v>
      </c>
      <c r="E36" s="502">
        <v>-1.7390000000000001</v>
      </c>
      <c r="F36" s="503">
        <v>-0.49399999999999999</v>
      </c>
      <c r="G36" s="489">
        <v>0</v>
      </c>
      <c r="H36" s="490"/>
      <c r="I36" s="490"/>
      <c r="J36" s="500"/>
      <c r="K36" s="26"/>
    </row>
    <row r="37" spans="1:11" ht="35.049999999999997" customHeight="1" x14ac:dyDescent="0.3">
      <c r="A37" s="10" t="s">
        <v>682</v>
      </c>
      <c r="B37" s="392"/>
      <c r="C37" s="395">
        <v>0</v>
      </c>
      <c r="D37" s="501">
        <v>-5.5910000000000002</v>
      </c>
      <c r="E37" s="502">
        <v>-1.528</v>
      </c>
      <c r="F37" s="503">
        <v>-0.441</v>
      </c>
      <c r="G37" s="489">
        <v>0</v>
      </c>
      <c r="H37" s="490"/>
      <c r="I37" s="490"/>
      <c r="J37" s="500"/>
      <c r="K37" s="26"/>
    </row>
    <row r="38" spans="1:11" ht="35.049999999999997" customHeight="1" x14ac:dyDescent="0.3">
      <c r="A38" s="10" t="s">
        <v>597</v>
      </c>
      <c r="B38" s="27" t="s">
        <v>1206</v>
      </c>
      <c r="C38" s="395">
        <v>0</v>
      </c>
      <c r="D38" s="501">
        <v>-6.2619999999999996</v>
      </c>
      <c r="E38" s="502">
        <v>-1.7390000000000001</v>
      </c>
      <c r="F38" s="503">
        <v>-0.49399999999999999</v>
      </c>
      <c r="G38" s="489">
        <v>0</v>
      </c>
      <c r="H38" s="490"/>
      <c r="I38" s="490"/>
      <c r="J38" s="499">
        <v>0.29199999999999998</v>
      </c>
      <c r="K38" s="26"/>
    </row>
    <row r="39" spans="1:11" ht="35.049999999999997" customHeight="1" x14ac:dyDescent="0.3">
      <c r="A39" s="10" t="s">
        <v>683</v>
      </c>
      <c r="B39" s="392"/>
      <c r="C39" s="395">
        <v>0</v>
      </c>
      <c r="D39" s="501">
        <v>-6.2619999999999996</v>
      </c>
      <c r="E39" s="502">
        <v>-1.7390000000000001</v>
      </c>
      <c r="F39" s="503">
        <v>-0.49399999999999999</v>
      </c>
      <c r="G39" s="489">
        <v>0</v>
      </c>
      <c r="H39" s="490"/>
      <c r="I39" s="490"/>
      <c r="J39" s="500"/>
      <c r="K39" s="26"/>
    </row>
    <row r="40" spans="1:11" ht="35.049999999999997" customHeight="1" x14ac:dyDescent="0.3">
      <c r="A40" s="10" t="s">
        <v>684</v>
      </c>
      <c r="B40" s="392"/>
      <c r="C40" s="395">
        <v>0</v>
      </c>
      <c r="D40" s="501">
        <v>-5.5910000000000002</v>
      </c>
      <c r="E40" s="502">
        <v>-1.528</v>
      </c>
      <c r="F40" s="503">
        <v>-0.441</v>
      </c>
      <c r="G40" s="489">
        <v>0</v>
      </c>
      <c r="H40" s="490"/>
      <c r="I40" s="490"/>
      <c r="J40" s="499">
        <v>0.24099999999999999</v>
      </c>
      <c r="K40" s="26"/>
    </row>
    <row r="41" spans="1:11" ht="35.049999999999997" customHeight="1" x14ac:dyDescent="0.3">
      <c r="A41" s="10" t="s">
        <v>685</v>
      </c>
      <c r="B41" s="392"/>
      <c r="C41" s="395">
        <v>0</v>
      </c>
      <c r="D41" s="501">
        <v>-5.5910000000000002</v>
      </c>
      <c r="E41" s="502">
        <v>-1.528</v>
      </c>
      <c r="F41" s="503">
        <v>-0.441</v>
      </c>
      <c r="G41" s="489">
        <v>0</v>
      </c>
      <c r="H41" s="490"/>
      <c r="I41" s="490"/>
      <c r="J41" s="500"/>
      <c r="K41" s="26"/>
    </row>
    <row r="42" spans="1:11" ht="35.049999999999997" customHeight="1" x14ac:dyDescent="0.3">
      <c r="A42" s="10" t="s">
        <v>598</v>
      </c>
      <c r="B42" s="26" t="s">
        <v>1207</v>
      </c>
      <c r="C42" s="395">
        <v>0</v>
      </c>
      <c r="D42" s="501">
        <v>-2.8820000000000001</v>
      </c>
      <c r="E42" s="502">
        <v>-0.64700000000000002</v>
      </c>
      <c r="F42" s="503">
        <v>-0.223</v>
      </c>
      <c r="G42" s="489">
        <v>643.35</v>
      </c>
      <c r="H42" s="490"/>
      <c r="I42" s="490"/>
      <c r="J42" s="499">
        <v>0.216</v>
      </c>
      <c r="K42" s="26"/>
    </row>
    <row r="43" spans="1:11" ht="35.049999999999997" customHeight="1" x14ac:dyDescent="0.3">
      <c r="A43" s="10" t="s">
        <v>681</v>
      </c>
      <c r="B43" s="392"/>
      <c r="C43" s="395">
        <v>0</v>
      </c>
      <c r="D43" s="501">
        <v>-2.8820000000000001</v>
      </c>
      <c r="E43" s="502">
        <v>-0.64700000000000002</v>
      </c>
      <c r="F43" s="503">
        <v>-0.223</v>
      </c>
      <c r="G43" s="489">
        <v>643.35</v>
      </c>
      <c r="H43" s="490"/>
      <c r="I43" s="490"/>
      <c r="J43" s="500"/>
      <c r="K43" s="26"/>
    </row>
  </sheetData>
  <mergeCells count="17">
    <mergeCell ref="E1:K1"/>
    <mergeCell ref="A2:K2"/>
    <mergeCell ref="A4:E4"/>
    <mergeCell ref="G4:K4"/>
    <mergeCell ref="C5:D5"/>
    <mergeCell ref="G5:H5"/>
    <mergeCell ref="B10:E10"/>
    <mergeCell ref="I10:K10"/>
    <mergeCell ref="G10:H10"/>
    <mergeCell ref="C8:D8"/>
    <mergeCell ref="C9:D9"/>
    <mergeCell ref="G9:H9"/>
    <mergeCell ref="C6:D6"/>
    <mergeCell ref="G6:H6"/>
    <mergeCell ref="C7:D7"/>
    <mergeCell ref="G7:H7"/>
    <mergeCell ref="G8:H8"/>
  </mergeCells>
  <hyperlinks>
    <hyperlink ref="A1" location="Overview!A1" display="Back to Overview" xr:uid="{8AA444BC-3638-4440-BC9E-15108CA62652}"/>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autoPageBreaks="0" fitToPage="1"/>
  </sheetPr>
  <dimension ref="A1:P157"/>
  <sheetViews>
    <sheetView zoomScale="50" zoomScaleNormal="50" workbookViewId="0"/>
  </sheetViews>
  <sheetFormatPr defaultColWidth="9.15234375" defaultRowHeight="27.75" customHeight="1" x14ac:dyDescent="0.3"/>
  <cols>
    <col min="1" max="1" width="8.69140625" style="120" customWidth="1"/>
    <col min="2" max="2" width="17.3046875" style="120" customWidth="1"/>
    <col min="3" max="3" width="8.69140625" style="176" customWidth="1"/>
    <col min="4" max="4" width="17.3046875" style="176" customWidth="1"/>
    <col min="5" max="6" width="15.69140625" style="176" customWidth="1"/>
    <col min="7" max="7" width="15.69140625" style="177" customWidth="1"/>
    <col min="8" max="9" width="15.69140625" style="178" customWidth="1"/>
    <col min="10" max="13" width="15.69140625" style="120" customWidth="1"/>
    <col min="14" max="15" width="15.53515625" style="120" customWidth="1"/>
    <col min="16" max="16" width="11.3046875" style="120" bestFit="1" customWidth="1"/>
    <col min="17" max="16384" width="9.15234375" style="120"/>
  </cols>
  <sheetData>
    <row r="1" spans="1:16" ht="66.75" customHeight="1" x14ac:dyDescent="0.3">
      <c r="A1" s="118" t="s">
        <v>19</v>
      </c>
      <c r="B1" s="119"/>
      <c r="C1" s="119"/>
      <c r="D1" s="611" t="s">
        <v>30</v>
      </c>
      <c r="E1" s="611"/>
      <c r="F1" s="611"/>
      <c r="G1" s="611"/>
      <c r="H1" s="611"/>
      <c r="I1" s="611"/>
      <c r="J1" s="611"/>
      <c r="K1" s="611"/>
      <c r="L1" s="611"/>
      <c r="M1" s="611"/>
    </row>
    <row r="2" spans="1:16" s="121" customFormat="1" ht="40" customHeight="1" x14ac:dyDescent="0.3">
      <c r="A2" s="612" t="str">
        <f>Overview!B4&amp; " - Effective from "&amp;Overview!D4&amp;" - "&amp;Overview!E4&amp;" Schedule of Charges for use of the Distribution System by EHV Properties (including LDNOs with EHV Properties/end-users) in UKPN EPN Area (GSP Group _A)"</f>
        <v>Indigo Power Limited - Effective from 1 April 2023 - Final Schedule of Charges for use of the Distribution System by EHV Properties (including LDNOs with EHV Properties/end-users) in UKPN EPN Area (GSP Group _A)</v>
      </c>
      <c r="B2" s="612"/>
      <c r="C2" s="612"/>
      <c r="D2" s="612"/>
      <c r="E2" s="612"/>
      <c r="F2" s="612"/>
      <c r="G2" s="612"/>
      <c r="H2" s="612"/>
      <c r="I2" s="612"/>
      <c r="J2" s="612"/>
      <c r="K2" s="612"/>
      <c r="L2" s="612"/>
      <c r="M2" s="612"/>
    </row>
    <row r="3" spans="1:16" s="122" customFormat="1" ht="10.5" customHeight="1" x14ac:dyDescent="0.3">
      <c r="A3" s="48"/>
      <c r="B3" s="48"/>
      <c r="C3" s="48"/>
      <c r="D3" s="48"/>
      <c r="E3" s="48"/>
      <c r="F3" s="48"/>
      <c r="G3" s="48"/>
      <c r="H3" s="48"/>
      <c r="I3" s="48"/>
      <c r="J3" s="48"/>
      <c r="K3" s="48"/>
      <c r="L3" s="48"/>
      <c r="M3" s="48"/>
    </row>
    <row r="4" spans="1:16" s="122" customFormat="1" ht="25.5" customHeight="1" x14ac:dyDescent="0.3">
      <c r="A4" s="613" t="s">
        <v>470</v>
      </c>
      <c r="B4" s="613"/>
      <c r="C4" s="613"/>
      <c r="D4" s="613"/>
      <c r="E4" s="613"/>
      <c r="F4" s="613"/>
      <c r="G4" s="618" t="s">
        <v>723</v>
      </c>
      <c r="H4" s="619"/>
      <c r="I4" s="619"/>
      <c r="J4" s="619"/>
      <c r="K4" s="619"/>
      <c r="L4" s="619"/>
      <c r="M4" s="620"/>
    </row>
    <row r="5" spans="1:16" s="122" customFormat="1" ht="25.5" customHeight="1" x14ac:dyDescent="0.3">
      <c r="A5" s="614" t="s">
        <v>13</v>
      </c>
      <c r="B5" s="615"/>
      <c r="C5" s="615"/>
      <c r="D5" s="616" t="s">
        <v>304</v>
      </c>
      <c r="E5" s="616"/>
      <c r="F5" s="616"/>
      <c r="G5" s="123"/>
      <c r="H5" s="123"/>
      <c r="I5" s="123"/>
      <c r="J5" s="123"/>
      <c r="K5" s="123"/>
      <c r="L5" s="123"/>
      <c r="M5" s="124"/>
    </row>
    <row r="6" spans="1:16" s="122" customFormat="1" ht="45" customHeight="1" x14ac:dyDescent="0.3">
      <c r="A6" s="569" t="s">
        <v>303</v>
      </c>
      <c r="B6" s="569"/>
      <c r="C6" s="569"/>
      <c r="D6" s="568" t="s">
        <v>465</v>
      </c>
      <c r="E6" s="568"/>
      <c r="F6" s="568"/>
      <c r="G6" s="123"/>
      <c r="H6" s="123"/>
      <c r="I6" s="123"/>
      <c r="J6" s="123"/>
      <c r="K6" s="123"/>
      <c r="L6" s="123"/>
      <c r="M6" s="124"/>
    </row>
    <row r="7" spans="1:16" s="122" customFormat="1" ht="20.25" customHeight="1" x14ac:dyDescent="0.3">
      <c r="A7" s="569" t="s">
        <v>14</v>
      </c>
      <c r="B7" s="569"/>
      <c r="C7" s="569"/>
      <c r="D7" s="617" t="s">
        <v>466</v>
      </c>
      <c r="E7" s="617"/>
      <c r="F7" s="617"/>
      <c r="G7" s="123"/>
      <c r="H7" s="123"/>
      <c r="I7" s="123"/>
      <c r="J7" s="123"/>
      <c r="K7" s="123"/>
      <c r="L7" s="123"/>
      <c r="M7" s="124"/>
    </row>
    <row r="8" spans="1:16" s="122" customFormat="1" ht="18" customHeight="1" x14ac:dyDescent="0.3">
      <c r="A8" s="123"/>
      <c r="B8" s="123"/>
      <c r="C8" s="123"/>
      <c r="D8" s="123"/>
      <c r="E8" s="123"/>
      <c r="F8" s="123"/>
      <c r="G8" s="123"/>
      <c r="H8" s="123"/>
      <c r="I8" s="123"/>
      <c r="J8" s="123"/>
      <c r="K8" s="123"/>
      <c r="L8" s="123"/>
      <c r="M8" s="124"/>
    </row>
    <row r="9" spans="1:16" s="122" customFormat="1" ht="63.75" customHeight="1" x14ac:dyDescent="0.3">
      <c r="A9" s="125" t="s">
        <v>471</v>
      </c>
      <c r="B9" s="126" t="s">
        <v>286</v>
      </c>
      <c r="C9" s="125" t="s">
        <v>472</v>
      </c>
      <c r="D9" s="126" t="s">
        <v>287</v>
      </c>
      <c r="E9" s="127" t="s">
        <v>29</v>
      </c>
      <c r="F9" s="128" t="s">
        <v>403</v>
      </c>
      <c r="G9" s="127" t="s">
        <v>297</v>
      </c>
      <c r="H9" s="127" t="s">
        <v>401</v>
      </c>
      <c r="I9" s="127" t="s">
        <v>457</v>
      </c>
      <c r="J9" s="127" t="s">
        <v>404</v>
      </c>
      <c r="K9" s="127" t="s">
        <v>298</v>
      </c>
      <c r="L9" s="127" t="s">
        <v>402</v>
      </c>
      <c r="M9" s="127" t="s">
        <v>458</v>
      </c>
    </row>
    <row r="10" spans="1:16" ht="12.45" x14ac:dyDescent="0.3">
      <c r="A10" s="129"/>
      <c r="B10" s="130"/>
      <c r="C10" s="131"/>
      <c r="D10" s="132"/>
      <c r="E10" s="133"/>
      <c r="F10" s="134"/>
      <c r="G10" s="135"/>
      <c r="H10" s="135"/>
      <c r="I10" s="135"/>
      <c r="J10" s="136"/>
      <c r="K10" s="137"/>
      <c r="L10" s="138"/>
      <c r="M10" s="138"/>
      <c r="P10" s="271"/>
    </row>
    <row r="11" spans="1:16" ht="27.75" customHeight="1" x14ac:dyDescent="0.3">
      <c r="A11" s="140"/>
      <c r="B11" s="140"/>
      <c r="C11" s="140"/>
      <c r="D11" s="141"/>
      <c r="E11" s="141"/>
      <c r="F11" s="141"/>
      <c r="G11" s="141"/>
      <c r="H11" s="141"/>
      <c r="I11" s="142"/>
      <c r="J11" s="143"/>
      <c r="K11" s="143"/>
      <c r="L11" s="140"/>
      <c r="M11" s="144"/>
    </row>
    <row r="12" spans="1:16" ht="27.75" customHeight="1" x14ac:dyDescent="0.3">
      <c r="A12" s="140"/>
      <c r="B12" s="140"/>
      <c r="C12" s="140"/>
      <c r="D12" s="141"/>
      <c r="E12" s="141"/>
      <c r="F12" s="141"/>
      <c r="G12" s="141"/>
      <c r="H12" s="141"/>
      <c r="I12" s="142"/>
      <c r="J12" s="143"/>
      <c r="K12" s="143"/>
      <c r="L12" s="140"/>
      <c r="M12" s="144"/>
    </row>
    <row r="13" spans="1:16" ht="40" customHeight="1" x14ac:dyDescent="0.3">
      <c r="A13" s="553" t="str">
        <f>Overview!B4&amp;" - Effective from "&amp;Overview!D4&amp;" - Final Schedule of Charges for use of the Distribution System by EHV Properties (including LDNOs with EHV Properties/end-users) in WPD EM Area (GSP Group_B)"</f>
        <v>Indigo Power Limited - Effective from 1 April 2023 - Final Schedule of Charges for use of the Distribution System by EHV Properties (including LDNOs with EHV Properties/end-users) in WPD EM Area (GSP Group_B)</v>
      </c>
      <c r="B13" s="554"/>
      <c r="C13" s="554"/>
      <c r="D13" s="554"/>
      <c r="E13" s="554"/>
      <c r="F13" s="554"/>
      <c r="G13" s="554"/>
      <c r="H13" s="554"/>
      <c r="I13" s="554"/>
      <c r="J13" s="554"/>
      <c r="K13" s="554"/>
      <c r="L13" s="592"/>
      <c r="M13" s="593"/>
    </row>
    <row r="14" spans="1:16" ht="27.75" customHeight="1" x14ac:dyDescent="0.3">
      <c r="A14" s="123"/>
      <c r="B14" s="123"/>
      <c r="C14" s="123"/>
      <c r="D14" s="123"/>
      <c r="E14" s="123"/>
      <c r="F14" s="123"/>
      <c r="G14" s="123"/>
      <c r="H14" s="123"/>
      <c r="I14" s="123"/>
      <c r="J14" s="123"/>
      <c r="K14" s="123"/>
      <c r="L14" s="123"/>
      <c r="M14" s="123"/>
    </row>
    <row r="15" spans="1:16" ht="27.75" customHeight="1" x14ac:dyDescent="0.3">
      <c r="A15" s="613" t="s">
        <v>470</v>
      </c>
      <c r="B15" s="613"/>
      <c r="C15" s="613"/>
      <c r="D15" s="613"/>
      <c r="E15" s="613"/>
      <c r="F15" s="613"/>
      <c r="G15" s="123"/>
      <c r="H15" s="123"/>
      <c r="I15" s="123"/>
      <c r="J15" s="123"/>
      <c r="K15" s="123"/>
      <c r="L15" s="123"/>
      <c r="M15" s="123"/>
    </row>
    <row r="16" spans="1:16" ht="27.75" customHeight="1" x14ac:dyDescent="0.3">
      <c r="A16" s="614" t="s">
        <v>13</v>
      </c>
      <c r="B16" s="615"/>
      <c r="C16" s="615"/>
      <c r="D16" s="600" t="s">
        <v>304</v>
      </c>
      <c r="E16" s="601"/>
      <c r="F16" s="602"/>
      <c r="G16" s="123"/>
      <c r="H16" s="123"/>
      <c r="I16" s="123"/>
      <c r="J16" s="123"/>
      <c r="K16" s="123"/>
      <c r="L16" s="123"/>
      <c r="M16" s="123"/>
    </row>
    <row r="17" spans="1:13" ht="45" customHeight="1" x14ac:dyDescent="0.3">
      <c r="A17" s="603" t="s">
        <v>468</v>
      </c>
      <c r="B17" s="603"/>
      <c r="C17" s="603"/>
      <c r="D17" s="542" t="s">
        <v>467</v>
      </c>
      <c r="E17" s="604"/>
      <c r="F17" s="543"/>
      <c r="G17" s="123"/>
      <c r="H17" s="123"/>
      <c r="I17" s="123"/>
      <c r="J17" s="123"/>
      <c r="K17" s="123"/>
      <c r="L17" s="123"/>
      <c r="M17" s="123"/>
    </row>
    <row r="18" spans="1:13" ht="20.25" customHeight="1" x14ac:dyDescent="0.3">
      <c r="A18" s="603" t="s">
        <v>14</v>
      </c>
      <c r="B18" s="603"/>
      <c r="C18" s="603"/>
      <c r="D18" s="542" t="s">
        <v>15</v>
      </c>
      <c r="E18" s="604"/>
      <c r="F18" s="543"/>
      <c r="G18" s="123"/>
      <c r="H18" s="123"/>
      <c r="I18" s="123"/>
      <c r="J18" s="123"/>
      <c r="K18" s="123"/>
      <c r="L18" s="123"/>
      <c r="M18" s="123"/>
    </row>
    <row r="19" spans="1:13" ht="27.75" customHeight="1" x14ac:dyDescent="0.3">
      <c r="A19" s="123"/>
      <c r="B19" s="123"/>
      <c r="C19" s="123"/>
      <c r="D19" s="123"/>
      <c r="E19" s="123"/>
      <c r="F19" s="123"/>
      <c r="G19" s="123"/>
      <c r="H19" s="123"/>
      <c r="I19" s="123"/>
      <c r="J19" s="123"/>
      <c r="K19" s="123"/>
      <c r="L19" s="123"/>
      <c r="M19" s="123"/>
    </row>
    <row r="20" spans="1:13" ht="63.75" customHeight="1" x14ac:dyDescent="0.3">
      <c r="A20" s="125" t="s">
        <v>471</v>
      </c>
      <c r="B20" s="126" t="s">
        <v>286</v>
      </c>
      <c r="C20" s="125" t="s">
        <v>472</v>
      </c>
      <c r="D20" s="126" t="s">
        <v>287</v>
      </c>
      <c r="E20" s="127" t="s">
        <v>29</v>
      </c>
      <c r="F20" s="128" t="s">
        <v>403</v>
      </c>
      <c r="G20" s="127" t="s">
        <v>297</v>
      </c>
      <c r="H20" s="127" t="s">
        <v>401</v>
      </c>
      <c r="I20" s="127" t="s">
        <v>457</v>
      </c>
      <c r="J20" s="127" t="s">
        <v>404</v>
      </c>
      <c r="K20" s="127" t="s">
        <v>298</v>
      </c>
      <c r="L20" s="127" t="s">
        <v>402</v>
      </c>
      <c r="M20" s="127" t="s">
        <v>458</v>
      </c>
    </row>
    <row r="21" spans="1:13" ht="15" customHeight="1" x14ac:dyDescent="0.3">
      <c r="A21" s="145"/>
      <c r="B21" s="146"/>
      <c r="C21" s="147"/>
      <c r="D21" s="146"/>
      <c r="E21" s="148"/>
      <c r="F21" s="149"/>
      <c r="G21" s="150"/>
      <c r="H21" s="150"/>
      <c r="I21" s="150"/>
      <c r="J21" s="151"/>
      <c r="K21" s="152"/>
      <c r="L21" s="152"/>
      <c r="M21" s="152"/>
    </row>
    <row r="22" spans="1:13" ht="27.75" customHeight="1" x14ac:dyDescent="0.3">
      <c r="A22" s="140"/>
      <c r="B22" s="140"/>
      <c r="C22" s="140"/>
      <c r="D22" s="141"/>
      <c r="E22" s="141"/>
      <c r="F22" s="141"/>
      <c r="G22" s="141"/>
      <c r="H22" s="141"/>
      <c r="I22" s="142"/>
      <c r="J22" s="143"/>
      <c r="K22" s="143"/>
      <c r="L22" s="140"/>
      <c r="M22" s="144"/>
    </row>
    <row r="23" spans="1:13" ht="27.75" customHeight="1" x14ac:dyDescent="0.3">
      <c r="A23" s="140"/>
      <c r="B23" s="140"/>
      <c r="C23" s="140"/>
      <c r="D23" s="141"/>
      <c r="E23" s="141"/>
      <c r="F23" s="141"/>
      <c r="G23" s="141"/>
      <c r="H23" s="141"/>
      <c r="I23" s="142"/>
      <c r="J23" s="143"/>
      <c r="K23" s="143"/>
      <c r="L23" s="140"/>
      <c r="M23" s="144"/>
    </row>
    <row r="24" spans="1:13" ht="40" customHeight="1" x14ac:dyDescent="0.3">
      <c r="A24" s="553" t="str">
        <f>Overview!B4&amp;" - Effective from "&amp;Overview!D4&amp;" - Final Schedule of Charges for use of the Distribution System by EHV Properties (including LDNOs with EHV Properties/end-users) in UKPN LPN Area (GSP Group_C)"</f>
        <v>Indigo Power Limited - Effective from 1 April 2023 - Final Schedule of Charges for use of the Distribution System by EHV Properties (including LDNOs with EHV Properties/end-users) in UKPN LPN Area (GSP Group_C)</v>
      </c>
      <c r="B24" s="554"/>
      <c r="C24" s="554"/>
      <c r="D24" s="554"/>
      <c r="E24" s="554"/>
      <c r="F24" s="554"/>
      <c r="G24" s="554"/>
      <c r="H24" s="554"/>
      <c r="I24" s="554"/>
      <c r="J24" s="554"/>
      <c r="K24" s="554"/>
      <c r="L24" s="592"/>
      <c r="M24" s="593"/>
    </row>
    <row r="25" spans="1:13" ht="27.75" customHeight="1" x14ac:dyDescent="0.3">
      <c r="A25" s="123"/>
      <c r="B25" s="123"/>
      <c r="C25" s="123"/>
      <c r="D25" s="123"/>
      <c r="E25" s="123"/>
      <c r="F25" s="123"/>
      <c r="G25" s="123"/>
      <c r="H25" s="123"/>
      <c r="I25" s="123"/>
      <c r="J25" s="123"/>
      <c r="K25" s="123"/>
      <c r="L25" s="123"/>
      <c r="M25" s="123"/>
    </row>
    <row r="26" spans="1:13" ht="27.75" customHeight="1" x14ac:dyDescent="0.3">
      <c r="A26" s="613" t="s">
        <v>470</v>
      </c>
      <c r="B26" s="613"/>
      <c r="C26" s="613"/>
      <c r="D26" s="613"/>
      <c r="E26" s="613"/>
      <c r="F26" s="613"/>
      <c r="G26" s="123"/>
      <c r="H26" s="123"/>
      <c r="I26" s="123"/>
      <c r="J26" s="123"/>
      <c r="K26" s="123"/>
      <c r="L26" s="123"/>
      <c r="M26" s="123"/>
    </row>
    <row r="27" spans="1:13" ht="27.75" customHeight="1" x14ac:dyDescent="0.3">
      <c r="A27" s="605" t="s">
        <v>13</v>
      </c>
      <c r="B27" s="606"/>
      <c r="C27" s="606"/>
      <c r="D27" s="621" t="s">
        <v>304</v>
      </c>
      <c r="E27" s="621"/>
      <c r="F27" s="621"/>
      <c r="G27" s="123"/>
      <c r="H27" s="123"/>
      <c r="I27" s="123"/>
      <c r="J27" s="123"/>
      <c r="K27" s="123"/>
      <c r="L27" s="123"/>
      <c r="M27" s="123"/>
    </row>
    <row r="28" spans="1:13" ht="45" customHeight="1" x14ac:dyDescent="0.3">
      <c r="A28" s="569" t="s">
        <v>302</v>
      </c>
      <c r="B28" s="569"/>
      <c r="C28" s="569"/>
      <c r="D28" s="568" t="s">
        <v>469</v>
      </c>
      <c r="E28" s="568"/>
      <c r="F28" s="568"/>
      <c r="G28" s="123"/>
      <c r="H28" s="123"/>
      <c r="I28" s="123"/>
      <c r="J28" s="123"/>
      <c r="K28" s="123"/>
      <c r="L28" s="123"/>
      <c r="M28" s="123"/>
    </row>
    <row r="29" spans="1:13" ht="45" customHeight="1" x14ac:dyDescent="0.3">
      <c r="A29" s="569" t="s">
        <v>303</v>
      </c>
      <c r="B29" s="569"/>
      <c r="C29" s="569"/>
      <c r="D29" s="568" t="s">
        <v>465</v>
      </c>
      <c r="E29" s="568"/>
      <c r="F29" s="568"/>
      <c r="G29" s="123"/>
      <c r="H29" s="123"/>
      <c r="I29" s="123"/>
      <c r="J29" s="123"/>
      <c r="K29" s="123"/>
      <c r="L29" s="123"/>
      <c r="M29" s="123"/>
    </row>
    <row r="30" spans="1:13" ht="20.25" customHeight="1" x14ac:dyDescent="0.3">
      <c r="A30" s="569" t="s">
        <v>14</v>
      </c>
      <c r="B30" s="569"/>
      <c r="C30" s="569"/>
      <c r="D30" s="617" t="s">
        <v>466</v>
      </c>
      <c r="E30" s="617"/>
      <c r="F30" s="617"/>
      <c r="G30" s="123"/>
      <c r="H30" s="123"/>
      <c r="I30" s="123"/>
      <c r="J30" s="123"/>
      <c r="K30" s="123"/>
      <c r="L30" s="123"/>
      <c r="M30" s="123"/>
    </row>
    <row r="31" spans="1:13" ht="27.75" customHeight="1" x14ac:dyDescent="0.3">
      <c r="A31" s="123"/>
      <c r="B31" s="123"/>
      <c r="C31" s="123"/>
      <c r="D31" s="123"/>
      <c r="E31" s="123"/>
      <c r="F31" s="123"/>
      <c r="G31" s="123"/>
      <c r="H31" s="123"/>
      <c r="I31" s="123"/>
      <c r="J31" s="123"/>
      <c r="K31" s="123"/>
      <c r="L31" s="123"/>
      <c r="M31" s="123"/>
    </row>
    <row r="32" spans="1:13" ht="63.75" customHeight="1" x14ac:dyDescent="0.3">
      <c r="A32" s="125" t="s">
        <v>471</v>
      </c>
      <c r="B32" s="126" t="s">
        <v>286</v>
      </c>
      <c r="C32" s="125" t="s">
        <v>472</v>
      </c>
      <c r="D32" s="126" t="s">
        <v>287</v>
      </c>
      <c r="E32" s="127" t="s">
        <v>29</v>
      </c>
      <c r="F32" s="128" t="s">
        <v>403</v>
      </c>
      <c r="G32" s="127" t="s">
        <v>297</v>
      </c>
      <c r="H32" s="127" t="s">
        <v>401</v>
      </c>
      <c r="I32" s="127" t="s">
        <v>457</v>
      </c>
      <c r="J32" s="127" t="s">
        <v>404</v>
      </c>
      <c r="K32" s="127" t="s">
        <v>298</v>
      </c>
      <c r="L32" s="127" t="s">
        <v>402</v>
      </c>
      <c r="M32" s="127" t="s">
        <v>458</v>
      </c>
    </row>
    <row r="33" spans="1:13" ht="15" customHeight="1" x14ac:dyDescent="0.3">
      <c r="A33" s="145"/>
      <c r="B33" s="153"/>
      <c r="C33" s="147"/>
      <c r="D33" s="146"/>
      <c r="E33" s="148"/>
      <c r="F33" s="154"/>
      <c r="G33" s="155"/>
      <c r="H33" s="155"/>
      <c r="I33" s="155"/>
      <c r="J33" s="156"/>
      <c r="K33" s="137"/>
      <c r="L33" s="157"/>
      <c r="M33" s="157"/>
    </row>
    <row r="34" spans="1:13" ht="27.75" customHeight="1" x14ac:dyDescent="0.3">
      <c r="A34" s="140"/>
      <c r="B34" s="140"/>
      <c r="C34" s="140"/>
      <c r="D34" s="141"/>
      <c r="E34" s="141"/>
      <c r="F34" s="141"/>
      <c r="G34" s="141"/>
      <c r="H34" s="141"/>
      <c r="I34" s="142"/>
      <c r="J34" s="143"/>
      <c r="K34" s="143"/>
      <c r="L34" s="140"/>
      <c r="M34" s="144"/>
    </row>
    <row r="35" spans="1:13" ht="27.75" customHeight="1" x14ac:dyDescent="0.3">
      <c r="A35" s="140"/>
      <c r="B35" s="140"/>
      <c r="C35" s="140"/>
      <c r="D35" s="141"/>
      <c r="E35" s="141"/>
      <c r="F35" s="141"/>
      <c r="G35" s="141"/>
      <c r="H35" s="141"/>
      <c r="I35" s="142"/>
      <c r="J35" s="143"/>
      <c r="K35" s="143"/>
      <c r="L35" s="140"/>
      <c r="M35" s="144"/>
    </row>
    <row r="36" spans="1:13" ht="40" customHeight="1" x14ac:dyDescent="0.3">
      <c r="A36" s="553" t="str">
        <f>Overview!B4&amp;" - Effective from "&amp;Overview!D4&amp;" - Final Schedule of Charges for use of the Distribution System by EHV Properties (including LDNOs with EHV Properties/end-users) in SP Manweb Area (GSP Group_D)"</f>
        <v>Indigo Power Limited - Effective from 1 April 2023 - Final Schedule of Charges for use of the Distribution System by EHV Properties (including LDNOs with EHV Properties/end-users) in SP Manweb Area (GSP Group_D)</v>
      </c>
      <c r="B36" s="554"/>
      <c r="C36" s="554"/>
      <c r="D36" s="554"/>
      <c r="E36" s="554"/>
      <c r="F36" s="554"/>
      <c r="G36" s="554"/>
      <c r="H36" s="554"/>
      <c r="I36" s="554"/>
      <c r="J36" s="554"/>
      <c r="K36" s="554"/>
      <c r="L36" s="592"/>
      <c r="M36" s="593"/>
    </row>
    <row r="37" spans="1:13" ht="27.75" customHeight="1" x14ac:dyDescent="0.3">
      <c r="A37" s="123"/>
      <c r="B37" s="123"/>
      <c r="C37" s="123"/>
      <c r="D37" s="123"/>
      <c r="E37" s="123"/>
      <c r="F37" s="123"/>
      <c r="G37" s="123"/>
      <c r="H37" s="123"/>
      <c r="I37" s="123"/>
      <c r="J37" s="123"/>
      <c r="K37" s="123"/>
      <c r="L37" s="123"/>
      <c r="M37" s="123"/>
    </row>
    <row r="38" spans="1:13" ht="27.75" customHeight="1" x14ac:dyDescent="0.3">
      <c r="A38" s="613" t="s">
        <v>470</v>
      </c>
      <c r="B38" s="613"/>
      <c r="C38" s="613"/>
      <c r="D38" s="613"/>
      <c r="E38" s="613"/>
      <c r="F38" s="613"/>
      <c r="G38" s="123"/>
      <c r="H38" s="123"/>
      <c r="I38" s="123"/>
      <c r="J38" s="123"/>
      <c r="K38" s="123"/>
      <c r="L38" s="123"/>
      <c r="M38" s="123"/>
    </row>
    <row r="39" spans="1:13" ht="27.75" customHeight="1" x14ac:dyDescent="0.3">
      <c r="A39" s="614" t="s">
        <v>13</v>
      </c>
      <c r="B39" s="615"/>
      <c r="C39" s="615"/>
      <c r="D39" s="616" t="s">
        <v>304</v>
      </c>
      <c r="E39" s="616"/>
      <c r="F39" s="616"/>
      <c r="G39" s="123"/>
      <c r="H39" s="123"/>
      <c r="I39" s="123"/>
      <c r="J39" s="123"/>
      <c r="K39" s="123"/>
      <c r="L39" s="123"/>
      <c r="M39" s="123"/>
    </row>
    <row r="40" spans="1:13" ht="45" customHeight="1" x14ac:dyDescent="0.3">
      <c r="A40" s="603" t="s">
        <v>302</v>
      </c>
      <c r="B40" s="603"/>
      <c r="C40" s="603"/>
      <c r="D40" s="610"/>
      <c r="E40" s="610"/>
      <c r="F40" s="610"/>
      <c r="G40" s="123"/>
      <c r="H40" s="123"/>
      <c r="I40" s="123"/>
      <c r="J40" s="123"/>
      <c r="K40" s="123"/>
      <c r="L40" s="123"/>
      <c r="M40" s="123"/>
    </row>
    <row r="41" spans="1:13" ht="45" customHeight="1" x14ac:dyDescent="0.3">
      <c r="A41" s="603" t="s">
        <v>303</v>
      </c>
      <c r="B41" s="603"/>
      <c r="C41" s="603"/>
      <c r="D41" s="542" t="s">
        <v>473</v>
      </c>
      <c r="E41" s="604"/>
      <c r="F41" s="543"/>
      <c r="G41" s="123"/>
      <c r="H41" s="123"/>
      <c r="I41" s="123"/>
      <c r="J41" s="123"/>
      <c r="K41" s="123"/>
      <c r="L41" s="123"/>
      <c r="M41" s="123"/>
    </row>
    <row r="42" spans="1:13" ht="20.25" customHeight="1" x14ac:dyDescent="0.3">
      <c r="A42" s="603" t="s">
        <v>14</v>
      </c>
      <c r="B42" s="603"/>
      <c r="C42" s="603"/>
      <c r="D42" s="568" t="s">
        <v>15</v>
      </c>
      <c r="E42" s="568"/>
      <c r="F42" s="568"/>
      <c r="G42" s="123"/>
      <c r="H42" s="123"/>
      <c r="I42" s="123"/>
      <c r="J42" s="123"/>
      <c r="K42" s="123"/>
      <c r="L42" s="123"/>
      <c r="M42" s="123"/>
    </row>
    <row r="43" spans="1:13" ht="27.75" customHeight="1" x14ac:dyDescent="0.3">
      <c r="A43" s="123"/>
      <c r="B43" s="123"/>
      <c r="C43" s="123"/>
      <c r="D43" s="123"/>
      <c r="E43" s="123"/>
      <c r="F43" s="123"/>
      <c r="G43" s="123"/>
      <c r="H43" s="123"/>
      <c r="I43" s="123"/>
      <c r="J43" s="123"/>
      <c r="K43" s="123"/>
      <c r="L43" s="123"/>
      <c r="M43" s="123"/>
    </row>
    <row r="44" spans="1:13" ht="63.75" customHeight="1" x14ac:dyDescent="0.3">
      <c r="A44" s="125" t="s">
        <v>471</v>
      </c>
      <c r="B44" s="126" t="s">
        <v>286</v>
      </c>
      <c r="C44" s="125" t="s">
        <v>472</v>
      </c>
      <c r="D44" s="126" t="s">
        <v>287</v>
      </c>
      <c r="E44" s="127" t="s">
        <v>29</v>
      </c>
      <c r="F44" s="128" t="s">
        <v>403</v>
      </c>
      <c r="G44" s="127" t="s">
        <v>297</v>
      </c>
      <c r="H44" s="127" t="s">
        <v>401</v>
      </c>
      <c r="I44" s="127" t="s">
        <v>457</v>
      </c>
      <c r="J44" s="127" t="s">
        <v>404</v>
      </c>
      <c r="K44" s="127" t="s">
        <v>298</v>
      </c>
      <c r="L44" s="127" t="s">
        <v>402</v>
      </c>
      <c r="M44" s="127" t="s">
        <v>458</v>
      </c>
    </row>
    <row r="45" spans="1:13" ht="15" customHeight="1" x14ac:dyDescent="0.3">
      <c r="A45" s="145"/>
      <c r="B45" s="146"/>
      <c r="C45" s="147"/>
      <c r="D45" s="146"/>
      <c r="E45" s="148"/>
      <c r="F45" s="149"/>
      <c r="G45" s="150"/>
      <c r="H45" s="150"/>
      <c r="I45" s="150"/>
      <c r="J45" s="151"/>
      <c r="K45" s="152"/>
      <c r="L45" s="152"/>
      <c r="M45" s="152"/>
    </row>
    <row r="46" spans="1:13" ht="27.75" customHeight="1" x14ac:dyDescent="0.3">
      <c r="A46" s="140"/>
      <c r="B46" s="140"/>
      <c r="C46" s="140"/>
      <c r="D46" s="141"/>
      <c r="E46" s="141"/>
      <c r="F46" s="141"/>
      <c r="G46" s="141"/>
      <c r="H46" s="141"/>
      <c r="I46" s="142"/>
      <c r="J46" s="143"/>
      <c r="K46" s="143"/>
      <c r="L46" s="140"/>
      <c r="M46" s="144"/>
    </row>
    <row r="47" spans="1:13" ht="27.75" customHeight="1" x14ac:dyDescent="0.3">
      <c r="A47" s="140"/>
      <c r="B47" s="140"/>
      <c r="C47" s="140"/>
      <c r="D47" s="141"/>
      <c r="E47" s="141"/>
      <c r="F47" s="141"/>
      <c r="G47" s="141"/>
      <c r="H47" s="141"/>
      <c r="I47" s="142"/>
      <c r="J47" s="143"/>
      <c r="K47" s="143"/>
      <c r="L47" s="140"/>
      <c r="M47" s="144"/>
    </row>
    <row r="48" spans="1:13" ht="40" customHeight="1" x14ac:dyDescent="0.3">
      <c r="A48" s="553" t="str">
        <f>Overview!B4&amp;" - Effective from "&amp;Overview!D4&amp;" - Final Schedule of Charges for use of the Distribution System by EHV Properties (including LDNOs with EHV Properties/end-users) in WPD West Midlands Area (GSP Group_E)"</f>
        <v>Indigo Power Limited - Effective from 1 April 2023 - Final Schedule of Charges for use of the Distribution System by EHV Properties (including LDNOs with EHV Properties/end-users) in WPD West Midlands Area (GSP Group_E)</v>
      </c>
      <c r="B48" s="554"/>
      <c r="C48" s="554"/>
      <c r="D48" s="554"/>
      <c r="E48" s="554"/>
      <c r="F48" s="554"/>
      <c r="G48" s="554"/>
      <c r="H48" s="554"/>
      <c r="I48" s="554"/>
      <c r="J48" s="554"/>
      <c r="K48" s="554"/>
      <c r="L48" s="592"/>
      <c r="M48" s="593"/>
    </row>
    <row r="49" spans="1:13" ht="27.75" customHeight="1" x14ac:dyDescent="0.3">
      <c r="A49" s="123"/>
      <c r="B49" s="123"/>
      <c r="C49" s="123"/>
      <c r="D49" s="123"/>
      <c r="E49" s="123"/>
      <c r="F49" s="123"/>
      <c r="G49" s="123"/>
      <c r="H49" s="123"/>
      <c r="I49" s="123"/>
      <c r="J49" s="123"/>
      <c r="K49" s="123"/>
      <c r="L49" s="123"/>
      <c r="M49" s="123"/>
    </row>
    <row r="50" spans="1:13" ht="27.75" customHeight="1" x14ac:dyDescent="0.3">
      <c r="A50" s="613" t="s">
        <v>470</v>
      </c>
      <c r="B50" s="613"/>
      <c r="C50" s="613"/>
      <c r="D50" s="613"/>
      <c r="E50" s="613"/>
      <c r="F50" s="613"/>
      <c r="G50" s="123"/>
      <c r="H50" s="123"/>
      <c r="I50" s="123"/>
      <c r="J50" s="123"/>
      <c r="K50" s="123"/>
      <c r="L50" s="123"/>
      <c r="M50" s="123"/>
    </row>
    <row r="51" spans="1:13" ht="27.75" customHeight="1" x14ac:dyDescent="0.3">
      <c r="A51" s="622" t="s">
        <v>13</v>
      </c>
      <c r="B51" s="623"/>
      <c r="C51" s="623"/>
      <c r="D51" s="624" t="s">
        <v>304</v>
      </c>
      <c r="E51" s="625"/>
      <c r="F51" s="626"/>
      <c r="G51" s="123"/>
      <c r="H51" s="123"/>
      <c r="I51" s="123"/>
      <c r="J51" s="123"/>
      <c r="K51" s="123"/>
      <c r="L51" s="123"/>
      <c r="M51" s="123"/>
    </row>
    <row r="52" spans="1:13" ht="45" customHeight="1" x14ac:dyDescent="0.3">
      <c r="A52" s="603" t="s">
        <v>468</v>
      </c>
      <c r="B52" s="603"/>
      <c r="C52" s="603"/>
      <c r="D52" s="542" t="s">
        <v>467</v>
      </c>
      <c r="E52" s="604"/>
      <c r="F52" s="543"/>
      <c r="G52" s="123"/>
      <c r="H52" s="123"/>
      <c r="I52" s="123"/>
      <c r="J52" s="123"/>
      <c r="K52" s="123"/>
      <c r="L52" s="123"/>
      <c r="M52" s="123"/>
    </row>
    <row r="53" spans="1:13" ht="20.25" customHeight="1" x14ac:dyDescent="0.3">
      <c r="A53" s="603" t="s">
        <v>14</v>
      </c>
      <c r="B53" s="603"/>
      <c r="C53" s="603"/>
      <c r="D53" s="542" t="s">
        <v>15</v>
      </c>
      <c r="E53" s="604"/>
      <c r="F53" s="543"/>
      <c r="G53" s="123"/>
      <c r="H53" s="123"/>
      <c r="I53" s="123"/>
      <c r="J53" s="123"/>
      <c r="K53" s="123"/>
      <c r="L53" s="123"/>
      <c r="M53" s="123"/>
    </row>
    <row r="54" spans="1:13" ht="27.75" customHeight="1" x14ac:dyDescent="0.3">
      <c r="A54" s="627"/>
      <c r="B54" s="627"/>
      <c r="C54" s="627"/>
      <c r="D54" s="628"/>
      <c r="E54" s="628"/>
      <c r="F54" s="628"/>
      <c r="G54" s="123"/>
      <c r="H54" s="123"/>
      <c r="I54" s="123"/>
      <c r="J54" s="123"/>
      <c r="K54" s="123"/>
      <c r="L54" s="123"/>
      <c r="M54" s="123"/>
    </row>
    <row r="55" spans="1:13" ht="63.75" customHeight="1" x14ac:dyDescent="0.3">
      <c r="A55" s="125" t="s">
        <v>471</v>
      </c>
      <c r="B55" s="126" t="s">
        <v>286</v>
      </c>
      <c r="C55" s="125" t="s">
        <v>472</v>
      </c>
      <c r="D55" s="126" t="s">
        <v>287</v>
      </c>
      <c r="E55" s="127" t="s">
        <v>29</v>
      </c>
      <c r="F55" s="128" t="s">
        <v>403</v>
      </c>
      <c r="G55" s="127" t="s">
        <v>297</v>
      </c>
      <c r="H55" s="127" t="s">
        <v>401</v>
      </c>
      <c r="I55" s="127" t="s">
        <v>457</v>
      </c>
      <c r="J55" s="127" t="s">
        <v>404</v>
      </c>
      <c r="K55" s="127" t="s">
        <v>298</v>
      </c>
      <c r="L55" s="127" t="s">
        <v>402</v>
      </c>
      <c r="M55" s="127" t="s">
        <v>458</v>
      </c>
    </row>
    <row r="56" spans="1:13" ht="15" customHeight="1" x14ac:dyDescent="0.3">
      <c r="A56" s="145"/>
      <c r="B56" s="146"/>
      <c r="C56" s="147"/>
      <c r="D56" s="146"/>
      <c r="E56" s="148"/>
      <c r="F56" s="149"/>
      <c r="G56" s="150"/>
      <c r="H56" s="150"/>
      <c r="I56" s="150"/>
      <c r="J56" s="151"/>
      <c r="K56" s="152"/>
      <c r="L56" s="152"/>
      <c r="M56" s="152"/>
    </row>
    <row r="57" spans="1:13" ht="27.75" customHeight="1" x14ac:dyDescent="0.3">
      <c r="A57" s="140"/>
      <c r="B57" s="140"/>
      <c r="C57" s="140"/>
      <c r="D57" s="141"/>
      <c r="E57" s="141"/>
      <c r="F57" s="141"/>
      <c r="G57" s="141"/>
      <c r="H57" s="141"/>
      <c r="I57" s="142"/>
      <c r="J57" s="143"/>
      <c r="K57" s="143"/>
      <c r="L57" s="140"/>
      <c r="M57" s="144"/>
    </row>
    <row r="58" spans="1:13" ht="27.75" customHeight="1" x14ac:dyDescent="0.3">
      <c r="A58" s="140"/>
      <c r="B58" s="140"/>
      <c r="C58" s="140"/>
      <c r="D58" s="141"/>
      <c r="E58" s="141"/>
      <c r="F58" s="141"/>
      <c r="G58" s="141"/>
      <c r="H58" s="141"/>
      <c r="I58" s="142"/>
      <c r="J58" s="143"/>
      <c r="K58" s="143"/>
      <c r="L58" s="140"/>
      <c r="M58" s="144"/>
    </row>
    <row r="59" spans="1:13" ht="40" customHeight="1" x14ac:dyDescent="0.3">
      <c r="A59" s="553" t="str">
        <f>Overview!B4&amp;" - Effective from "&amp;Overview!D4&amp;" - Final Schedule of Charges for use of the Distribution System by EHV Properties (including LDNOs with EHV Properties/end-users) in NPG Northeast Area (GSP Group_F)"</f>
        <v>Indigo Power Limited - Effective from 1 April 2023 - Final Schedule of Charges for use of the Distribution System by EHV Properties (including LDNOs with EHV Properties/end-users) in NPG Northeast Area (GSP Group_F)</v>
      </c>
      <c r="B59" s="554"/>
      <c r="C59" s="554"/>
      <c r="D59" s="554"/>
      <c r="E59" s="554"/>
      <c r="F59" s="554"/>
      <c r="G59" s="554"/>
      <c r="H59" s="554"/>
      <c r="I59" s="554"/>
      <c r="J59" s="554"/>
      <c r="K59" s="554"/>
      <c r="L59" s="592"/>
      <c r="M59" s="593"/>
    </row>
    <row r="60" spans="1:13" ht="27.75" customHeight="1" x14ac:dyDescent="0.3">
      <c r="A60" s="123"/>
      <c r="B60" s="123"/>
      <c r="C60" s="123"/>
      <c r="D60" s="123"/>
      <c r="E60" s="123"/>
      <c r="F60" s="123"/>
      <c r="G60" s="123"/>
      <c r="H60" s="123"/>
      <c r="I60" s="123"/>
      <c r="J60" s="123"/>
      <c r="K60" s="123"/>
      <c r="L60" s="123"/>
      <c r="M60" s="123"/>
    </row>
    <row r="61" spans="1:13" ht="27.75" customHeight="1" x14ac:dyDescent="0.3">
      <c r="A61" s="594" t="s">
        <v>470</v>
      </c>
      <c r="B61" s="595"/>
      <c r="C61" s="595"/>
      <c r="D61" s="595"/>
      <c r="E61" s="595"/>
      <c r="F61" s="596"/>
      <c r="G61" s="123"/>
      <c r="H61" s="123"/>
      <c r="I61" s="123"/>
      <c r="J61" s="123"/>
      <c r="K61" s="123"/>
      <c r="L61" s="123"/>
      <c r="M61" s="123"/>
    </row>
    <row r="62" spans="1:13" ht="27.75" customHeight="1" x14ac:dyDescent="0.3">
      <c r="A62" s="597" t="s">
        <v>13</v>
      </c>
      <c r="B62" s="598"/>
      <c r="C62" s="599"/>
      <c r="D62" s="600" t="s">
        <v>304</v>
      </c>
      <c r="E62" s="601"/>
      <c r="F62" s="602"/>
      <c r="G62" s="123"/>
      <c r="H62" s="123"/>
      <c r="I62" s="123"/>
      <c r="J62" s="123"/>
      <c r="K62" s="123"/>
      <c r="L62" s="123"/>
      <c r="M62" s="123"/>
    </row>
    <row r="63" spans="1:13" ht="45" customHeight="1" x14ac:dyDescent="0.3">
      <c r="A63" s="603" t="s">
        <v>303</v>
      </c>
      <c r="B63" s="603"/>
      <c r="C63" s="603"/>
      <c r="D63" s="568" t="s">
        <v>493</v>
      </c>
      <c r="E63" s="568"/>
      <c r="F63" s="568"/>
      <c r="G63" s="123"/>
      <c r="H63" s="123"/>
      <c r="I63" s="123"/>
      <c r="J63" s="123"/>
      <c r="K63" s="123"/>
      <c r="L63" s="123"/>
      <c r="M63" s="123"/>
    </row>
    <row r="64" spans="1:13" ht="20.25" customHeight="1" x14ac:dyDescent="0.3">
      <c r="A64" s="603" t="s">
        <v>14</v>
      </c>
      <c r="B64" s="603"/>
      <c r="C64" s="603"/>
      <c r="D64" s="568" t="s">
        <v>15</v>
      </c>
      <c r="E64" s="568"/>
      <c r="F64" s="568"/>
      <c r="G64" s="123"/>
      <c r="H64" s="158"/>
      <c r="I64" s="158"/>
      <c r="J64" s="158"/>
      <c r="K64" s="158"/>
      <c r="L64" s="158"/>
      <c r="M64" s="158"/>
    </row>
    <row r="65" spans="1:13" ht="27.75" customHeight="1" x14ac:dyDescent="0.3">
      <c r="A65" s="123"/>
      <c r="B65" s="123"/>
      <c r="C65" s="123"/>
      <c r="D65" s="123"/>
      <c r="E65" s="123"/>
      <c r="F65" s="123"/>
      <c r="G65" s="123"/>
      <c r="H65" s="123"/>
      <c r="I65" s="123"/>
      <c r="J65" s="123"/>
      <c r="K65" s="123"/>
      <c r="L65" s="123"/>
      <c r="M65" s="123"/>
    </row>
    <row r="66" spans="1:13" ht="63.75" customHeight="1" x14ac:dyDescent="0.3">
      <c r="A66" s="125" t="s">
        <v>471</v>
      </c>
      <c r="B66" s="126" t="s">
        <v>286</v>
      </c>
      <c r="C66" s="125" t="s">
        <v>472</v>
      </c>
      <c r="D66" s="126" t="s">
        <v>287</v>
      </c>
      <c r="E66" s="127" t="s">
        <v>29</v>
      </c>
      <c r="F66" s="128" t="s">
        <v>403</v>
      </c>
      <c r="G66" s="127" t="s">
        <v>297</v>
      </c>
      <c r="H66" s="127" t="s">
        <v>401</v>
      </c>
      <c r="I66" s="127" t="s">
        <v>457</v>
      </c>
      <c r="J66" s="127" t="s">
        <v>404</v>
      </c>
      <c r="K66" s="127" t="s">
        <v>298</v>
      </c>
      <c r="L66" s="127" t="s">
        <v>402</v>
      </c>
      <c r="M66" s="127" t="s">
        <v>458</v>
      </c>
    </row>
    <row r="67" spans="1:13" ht="14.6" x14ac:dyDescent="0.3">
      <c r="A67" s="145"/>
      <c r="B67" s="159"/>
      <c r="C67" s="147"/>
      <c r="D67" s="159"/>
      <c r="E67" s="148"/>
      <c r="F67" s="160"/>
      <c r="G67" s="161"/>
      <c r="H67" s="161"/>
      <c r="I67" s="161"/>
      <c r="J67" s="162"/>
      <c r="K67" s="163"/>
      <c r="L67" s="163"/>
      <c r="M67" s="163"/>
    </row>
    <row r="68" spans="1:13" ht="27.75" customHeight="1" x14ac:dyDescent="0.3">
      <c r="A68" s="140"/>
      <c r="B68" s="140"/>
      <c r="C68" s="140"/>
      <c r="D68" s="141"/>
      <c r="E68" s="141"/>
      <c r="F68" s="141"/>
      <c r="G68" s="141"/>
      <c r="H68" s="141"/>
      <c r="I68" s="142"/>
      <c r="J68" s="143"/>
      <c r="K68" s="143"/>
      <c r="L68" s="140"/>
      <c r="M68" s="144"/>
    </row>
    <row r="69" spans="1:13" ht="27.75" customHeight="1" x14ac:dyDescent="0.3">
      <c r="A69" s="140"/>
      <c r="B69" s="140"/>
      <c r="C69" s="140"/>
      <c r="D69" s="141"/>
      <c r="E69" s="141"/>
      <c r="F69" s="141"/>
      <c r="G69" s="141"/>
      <c r="H69" s="141"/>
      <c r="I69" s="142"/>
      <c r="J69" s="143"/>
      <c r="K69" s="143"/>
      <c r="L69" s="140"/>
      <c r="M69" s="144"/>
    </row>
    <row r="70" spans="1:13" ht="40" customHeight="1" x14ac:dyDescent="0.3">
      <c r="A70" s="553" t="str">
        <f>Overview!B4&amp;" - Effective from "&amp;Overview!D4&amp;" - Final Schedule of Charges for use of the Distribution System by EHV Properties (including LDNOs with EHV Properties/end-users) in Electricity North West Area (GSP Group_G)"</f>
        <v>Indigo Power Limited - Effective from 1 April 2023 - Final Schedule of Charges for use of the Distribution System by EHV Properties (including LDNOs with EHV Properties/end-users) in Electricity North West Area (GSP Group_G)</v>
      </c>
      <c r="B70" s="554"/>
      <c r="C70" s="554"/>
      <c r="D70" s="554"/>
      <c r="E70" s="554"/>
      <c r="F70" s="554"/>
      <c r="G70" s="554"/>
      <c r="H70" s="554"/>
      <c r="I70" s="554"/>
      <c r="J70" s="554"/>
      <c r="K70" s="554"/>
      <c r="L70" s="592"/>
      <c r="M70" s="593"/>
    </row>
    <row r="71" spans="1:13" ht="27.75" customHeight="1" x14ac:dyDescent="0.3">
      <c r="A71" s="140"/>
      <c r="B71" s="140"/>
      <c r="C71" s="140"/>
      <c r="D71" s="141"/>
      <c r="E71" s="141"/>
      <c r="F71" s="141"/>
      <c r="G71" s="141"/>
      <c r="H71" s="141"/>
      <c r="I71" s="142"/>
      <c r="J71" s="143"/>
      <c r="K71" s="143"/>
      <c r="L71" s="140"/>
      <c r="M71" s="144"/>
    </row>
    <row r="72" spans="1:13" ht="27.75" customHeight="1" x14ac:dyDescent="0.3">
      <c r="A72" s="594" t="s">
        <v>470</v>
      </c>
      <c r="B72" s="595"/>
      <c r="C72" s="595"/>
      <c r="D72" s="595"/>
      <c r="E72" s="595"/>
      <c r="F72" s="596"/>
      <c r="G72" s="141"/>
      <c r="H72" s="141"/>
      <c r="I72" s="142"/>
      <c r="J72" s="143"/>
      <c r="K72" s="143"/>
      <c r="L72" s="140"/>
      <c r="M72" s="144"/>
    </row>
    <row r="73" spans="1:13" ht="27.75" customHeight="1" x14ac:dyDescent="0.3">
      <c r="A73" s="597" t="s">
        <v>13</v>
      </c>
      <c r="B73" s="598"/>
      <c r="C73" s="599"/>
      <c r="D73" s="600" t="s">
        <v>304</v>
      </c>
      <c r="E73" s="601"/>
      <c r="F73" s="602"/>
      <c r="G73" s="141"/>
      <c r="H73" s="141"/>
      <c r="I73" s="142"/>
      <c r="J73" s="143"/>
      <c r="K73" s="143"/>
      <c r="L73" s="140"/>
      <c r="M73" s="144"/>
    </row>
    <row r="74" spans="1:13" ht="45" customHeight="1" x14ac:dyDescent="0.3">
      <c r="A74" s="603" t="s">
        <v>303</v>
      </c>
      <c r="B74" s="603"/>
      <c r="C74" s="603"/>
      <c r="D74" s="542" t="s">
        <v>465</v>
      </c>
      <c r="E74" s="604"/>
      <c r="F74" s="543"/>
      <c r="G74" s="141"/>
      <c r="H74" s="141"/>
      <c r="I74" s="142"/>
      <c r="J74" s="143"/>
      <c r="K74" s="143"/>
      <c r="L74" s="140"/>
      <c r="M74" s="144"/>
    </row>
    <row r="75" spans="1:13" ht="20.25" customHeight="1" x14ac:dyDescent="0.3">
      <c r="A75" s="603" t="s">
        <v>14</v>
      </c>
      <c r="B75" s="603"/>
      <c r="C75" s="603"/>
      <c r="D75" s="542" t="s">
        <v>15</v>
      </c>
      <c r="E75" s="604"/>
      <c r="F75" s="543"/>
      <c r="G75" s="141"/>
      <c r="H75" s="141"/>
      <c r="I75" s="142"/>
      <c r="J75" s="143"/>
      <c r="K75" s="143"/>
      <c r="L75" s="140"/>
      <c r="M75" s="144"/>
    </row>
    <row r="76" spans="1:13" ht="27.75" customHeight="1" x14ac:dyDescent="0.3">
      <c r="A76" s="140"/>
      <c r="B76" s="140"/>
      <c r="C76" s="140"/>
      <c r="D76" s="141"/>
      <c r="E76" s="141"/>
      <c r="F76" s="141"/>
      <c r="G76" s="141"/>
      <c r="H76" s="141"/>
      <c r="I76" s="142"/>
      <c r="J76" s="143"/>
      <c r="K76" s="143"/>
      <c r="L76" s="140"/>
      <c r="M76" s="144"/>
    </row>
    <row r="77" spans="1:13" ht="63.75" customHeight="1" x14ac:dyDescent="0.3">
      <c r="A77" s="125" t="s">
        <v>471</v>
      </c>
      <c r="B77" s="126" t="s">
        <v>286</v>
      </c>
      <c r="C77" s="125" t="s">
        <v>472</v>
      </c>
      <c r="D77" s="126" t="s">
        <v>287</v>
      </c>
      <c r="E77" s="127" t="s">
        <v>29</v>
      </c>
      <c r="F77" s="128" t="s">
        <v>403</v>
      </c>
      <c r="G77" s="127" t="s">
        <v>297</v>
      </c>
      <c r="H77" s="127" t="s">
        <v>401</v>
      </c>
      <c r="I77" s="127" t="s">
        <v>457</v>
      </c>
      <c r="J77" s="127" t="s">
        <v>404</v>
      </c>
      <c r="K77" s="127" t="s">
        <v>298</v>
      </c>
      <c r="L77" s="127" t="s">
        <v>402</v>
      </c>
      <c r="M77" s="127" t="s">
        <v>458</v>
      </c>
    </row>
    <row r="78" spans="1:13" ht="15" customHeight="1" x14ac:dyDescent="0.3">
      <c r="A78" s="147"/>
      <c r="B78" s="159"/>
      <c r="C78" s="147"/>
      <c r="D78" s="159"/>
      <c r="E78" s="148"/>
      <c r="F78" s="164"/>
      <c r="G78" s="165"/>
      <c r="H78" s="165"/>
      <c r="I78" s="165"/>
      <c r="J78" s="162"/>
      <c r="K78" s="163"/>
      <c r="L78" s="163"/>
      <c r="M78" s="163"/>
    </row>
    <row r="79" spans="1:13" ht="27.75" customHeight="1" x14ac:dyDescent="0.3">
      <c r="A79" s="140"/>
      <c r="B79" s="140"/>
      <c r="C79" s="140"/>
      <c r="D79" s="141"/>
      <c r="E79" s="141"/>
      <c r="F79" s="141"/>
      <c r="G79" s="141"/>
      <c r="H79" s="141"/>
      <c r="I79" s="142"/>
      <c r="J79" s="143"/>
      <c r="K79" s="143"/>
      <c r="L79" s="140"/>
      <c r="M79" s="144"/>
    </row>
    <row r="80" spans="1:13" ht="48.75" customHeight="1" x14ac:dyDescent="0.3">
      <c r="A80" s="553" t="str">
        <f>Overview!$B$4&amp;" - Effective from "&amp;Overview!$D$4&amp;" - Final Schedule of Charges for use of the Distribution System by EHV Properties (including LDNOs with EHV Properties/end-users) in SSE SEPD Area (GSP Group_H)"</f>
        <v>Indigo Power Limited - Effective from 1 April 2023 - Final Schedule of Charges for use of the Distribution System by EHV Properties (including LDNOs with EHV Properties/end-users) in SSE SEPD Area (GSP Group_H)</v>
      </c>
      <c r="B80" s="554"/>
      <c r="C80" s="554"/>
      <c r="D80" s="554"/>
      <c r="E80" s="554"/>
      <c r="F80" s="554"/>
      <c r="G80" s="554"/>
      <c r="H80" s="554"/>
      <c r="I80" s="554"/>
      <c r="J80" s="554"/>
      <c r="K80" s="554"/>
      <c r="L80" s="592"/>
      <c r="M80" s="593"/>
    </row>
    <row r="81" spans="1:13" ht="27.75" customHeight="1" x14ac:dyDescent="0.3">
      <c r="A81" s="140"/>
      <c r="B81" s="140"/>
      <c r="C81" s="140"/>
      <c r="D81" s="141"/>
      <c r="E81" s="141"/>
      <c r="F81" s="141"/>
      <c r="G81" s="141"/>
      <c r="H81" s="141"/>
      <c r="I81" s="142"/>
      <c r="J81" s="143"/>
      <c r="K81" s="143"/>
      <c r="L81" s="140"/>
      <c r="M81" s="144"/>
    </row>
    <row r="82" spans="1:13" ht="27.75" customHeight="1" x14ac:dyDescent="0.3">
      <c r="A82" s="594" t="s">
        <v>470</v>
      </c>
      <c r="B82" s="595"/>
      <c r="C82" s="595"/>
      <c r="D82" s="595"/>
      <c r="E82" s="595"/>
      <c r="F82" s="596"/>
      <c r="G82" s="141"/>
      <c r="H82" s="141"/>
      <c r="I82" s="142"/>
      <c r="J82" s="143"/>
      <c r="K82" s="143"/>
      <c r="L82" s="140"/>
      <c r="M82" s="144"/>
    </row>
    <row r="83" spans="1:13" ht="27.75" customHeight="1" x14ac:dyDescent="0.3">
      <c r="A83" s="597" t="s">
        <v>13</v>
      </c>
      <c r="B83" s="598"/>
      <c r="C83" s="599"/>
      <c r="D83" s="600" t="s">
        <v>304</v>
      </c>
      <c r="E83" s="601"/>
      <c r="F83" s="602"/>
      <c r="G83" s="141"/>
      <c r="H83" s="141"/>
      <c r="I83" s="142"/>
      <c r="J83" s="143"/>
      <c r="K83" s="143"/>
      <c r="L83" s="140"/>
      <c r="M83" s="144"/>
    </row>
    <row r="84" spans="1:13" ht="48" customHeight="1" x14ac:dyDescent="0.3">
      <c r="A84" s="603" t="s">
        <v>303</v>
      </c>
      <c r="B84" s="603"/>
      <c r="C84" s="603"/>
      <c r="D84" s="568" t="s">
        <v>473</v>
      </c>
      <c r="E84" s="568"/>
      <c r="F84" s="568"/>
      <c r="G84" s="141"/>
      <c r="H84" s="141"/>
      <c r="I84" s="142"/>
      <c r="J84" s="143"/>
      <c r="K84" s="143"/>
      <c r="L84" s="140"/>
      <c r="M84" s="144"/>
    </row>
    <row r="85" spans="1:13" ht="27.75" customHeight="1" x14ac:dyDescent="0.3">
      <c r="A85" s="603" t="s">
        <v>14</v>
      </c>
      <c r="B85" s="603"/>
      <c r="C85" s="603"/>
      <c r="D85" s="542" t="s">
        <v>15</v>
      </c>
      <c r="E85" s="604"/>
      <c r="F85" s="543"/>
      <c r="G85" s="141"/>
      <c r="H85" s="141"/>
      <c r="I85" s="142"/>
      <c r="J85" s="143"/>
      <c r="K85" s="143"/>
      <c r="L85" s="140"/>
      <c r="M85" s="144"/>
    </row>
    <row r="86" spans="1:13" ht="27.75" customHeight="1" x14ac:dyDescent="0.3">
      <c r="A86" s="140"/>
      <c r="B86" s="140"/>
      <c r="C86" s="140"/>
      <c r="D86" s="141"/>
      <c r="E86" s="141"/>
      <c r="F86" s="141"/>
      <c r="G86" s="141"/>
      <c r="H86" s="141"/>
      <c r="I86" s="142"/>
      <c r="J86" s="143"/>
      <c r="K86" s="143"/>
      <c r="L86" s="140"/>
      <c r="M86" s="144"/>
    </row>
    <row r="87" spans="1:13" ht="49.75" x14ac:dyDescent="0.3">
      <c r="A87" s="125" t="s">
        <v>471</v>
      </c>
      <c r="B87" s="126" t="s">
        <v>286</v>
      </c>
      <c r="C87" s="125" t="s">
        <v>472</v>
      </c>
      <c r="D87" s="126" t="s">
        <v>287</v>
      </c>
      <c r="E87" s="127" t="s">
        <v>29</v>
      </c>
      <c r="F87" s="128" t="s">
        <v>403</v>
      </c>
      <c r="G87" s="127" t="s">
        <v>297</v>
      </c>
      <c r="H87" s="127" t="s">
        <v>401</v>
      </c>
      <c r="I87" s="127" t="s">
        <v>457</v>
      </c>
      <c r="J87" s="127" t="s">
        <v>404</v>
      </c>
      <c r="K87" s="127" t="s">
        <v>298</v>
      </c>
      <c r="L87" s="127" t="s">
        <v>402</v>
      </c>
      <c r="M87" s="127" t="s">
        <v>458</v>
      </c>
    </row>
    <row r="88" spans="1:13" ht="27.75" customHeight="1" x14ac:dyDescent="0.3">
      <c r="A88" s="147"/>
      <c r="B88" s="159"/>
      <c r="C88" s="147"/>
      <c r="D88" s="159"/>
      <c r="E88" s="148"/>
      <c r="F88" s="164"/>
      <c r="G88" s="165"/>
      <c r="H88" s="165"/>
      <c r="I88" s="165"/>
      <c r="J88" s="162"/>
      <c r="K88" s="163"/>
      <c r="L88" s="163"/>
      <c r="M88" s="163"/>
    </row>
    <row r="89" spans="1:13" ht="27.75" customHeight="1" x14ac:dyDescent="0.3">
      <c r="C89" s="120"/>
      <c r="D89" s="120"/>
      <c r="E89" s="120"/>
      <c r="F89" s="120"/>
      <c r="G89" s="120"/>
      <c r="H89" s="120"/>
      <c r="I89" s="120"/>
    </row>
    <row r="90" spans="1:13" ht="27.75" customHeight="1" x14ac:dyDescent="0.3">
      <c r="A90" s="140"/>
      <c r="B90" s="140"/>
      <c r="C90" s="140"/>
      <c r="D90" s="141"/>
      <c r="E90" s="141"/>
      <c r="F90" s="141"/>
      <c r="G90" s="141"/>
      <c r="H90" s="141"/>
      <c r="I90" s="142"/>
      <c r="J90" s="143"/>
      <c r="K90" s="143"/>
      <c r="L90" s="140"/>
      <c r="M90" s="144"/>
    </row>
    <row r="91" spans="1:13" ht="40" customHeight="1" x14ac:dyDescent="0.3">
      <c r="A91" s="553" t="str">
        <f>Overview!B4&amp;" - Effective from "&amp;Overview!D4&amp;" - Final Schedule of Charges for use of the Distribution System by EHV Properties (including LDNOs with EHV Properties/end-users) in UKPN SPN Area (GSP Group_J)"</f>
        <v>Indigo Power Limited - Effective from 1 April 2023 - Final Schedule of Charges for use of the Distribution System by EHV Properties (including LDNOs with EHV Properties/end-users) in UKPN SPN Area (GSP Group_J)</v>
      </c>
      <c r="B91" s="554"/>
      <c r="C91" s="554"/>
      <c r="D91" s="554"/>
      <c r="E91" s="554"/>
      <c r="F91" s="554"/>
      <c r="G91" s="554"/>
      <c r="H91" s="554"/>
      <c r="I91" s="554"/>
      <c r="J91" s="554"/>
      <c r="K91" s="554"/>
      <c r="L91" s="554"/>
      <c r="M91" s="555"/>
    </row>
    <row r="92" spans="1:13" ht="27.75" customHeight="1" x14ac:dyDescent="0.3">
      <c r="A92" s="123"/>
      <c r="B92" s="123"/>
      <c r="C92" s="123"/>
      <c r="D92" s="123"/>
      <c r="E92" s="123"/>
      <c r="F92" s="123"/>
      <c r="G92" s="123"/>
      <c r="H92" s="123"/>
      <c r="I92" s="124"/>
      <c r="J92" s="123"/>
      <c r="K92" s="123"/>
      <c r="L92" s="123"/>
      <c r="M92" s="124"/>
    </row>
    <row r="93" spans="1:13" ht="27.75" customHeight="1" x14ac:dyDescent="0.3">
      <c r="A93" s="594" t="s">
        <v>470</v>
      </c>
      <c r="B93" s="595"/>
      <c r="C93" s="595"/>
      <c r="D93" s="595"/>
      <c r="E93" s="595"/>
      <c r="F93" s="596"/>
      <c r="G93" s="123"/>
      <c r="H93" s="123"/>
      <c r="I93" s="124"/>
      <c r="J93" s="123"/>
      <c r="K93" s="123"/>
      <c r="L93" s="123"/>
      <c r="M93" s="124"/>
    </row>
    <row r="94" spans="1:13" ht="27.75" customHeight="1" x14ac:dyDescent="0.3">
      <c r="A94" s="605" t="s">
        <v>13</v>
      </c>
      <c r="B94" s="606"/>
      <c r="C94" s="606"/>
      <c r="D94" s="607" t="s">
        <v>304</v>
      </c>
      <c r="E94" s="608"/>
      <c r="F94" s="609"/>
      <c r="G94" s="123"/>
      <c r="H94" s="123"/>
      <c r="I94" s="124"/>
      <c r="J94" s="123"/>
      <c r="K94" s="123"/>
      <c r="L94" s="123"/>
      <c r="M94" s="124"/>
    </row>
    <row r="95" spans="1:13" ht="45" customHeight="1" x14ac:dyDescent="0.3">
      <c r="A95" s="569" t="s">
        <v>303</v>
      </c>
      <c r="B95" s="569"/>
      <c r="C95" s="569"/>
      <c r="D95" s="542" t="s">
        <v>465</v>
      </c>
      <c r="E95" s="604"/>
      <c r="F95" s="543"/>
      <c r="G95" s="123"/>
      <c r="H95" s="123"/>
      <c r="I95" s="124"/>
      <c r="J95" s="123"/>
      <c r="K95" s="123"/>
      <c r="L95" s="123"/>
      <c r="M95" s="124"/>
    </row>
    <row r="96" spans="1:13" ht="20.25" customHeight="1" x14ac:dyDescent="0.3">
      <c r="A96" s="569" t="s">
        <v>14</v>
      </c>
      <c r="B96" s="569"/>
      <c r="C96" s="569"/>
      <c r="D96" s="629" t="s">
        <v>466</v>
      </c>
      <c r="E96" s="630"/>
      <c r="F96" s="631"/>
      <c r="G96" s="123"/>
      <c r="H96" s="123"/>
      <c r="I96" s="124"/>
      <c r="J96" s="123"/>
      <c r="K96" s="123"/>
      <c r="L96" s="123"/>
      <c r="M96" s="124"/>
    </row>
    <row r="97" spans="1:13" ht="27.75" customHeight="1" x14ac:dyDescent="0.3">
      <c r="A97" s="123"/>
      <c r="B97" s="123"/>
      <c r="C97" s="123"/>
      <c r="D97" s="123"/>
      <c r="E97" s="123"/>
      <c r="F97" s="123"/>
      <c r="G97" s="123"/>
      <c r="H97" s="123"/>
      <c r="I97" s="124"/>
      <c r="J97" s="123"/>
      <c r="K97" s="123"/>
      <c r="L97" s="123"/>
      <c r="M97" s="124"/>
    </row>
    <row r="98" spans="1:13" ht="63.75" customHeight="1" x14ac:dyDescent="0.3">
      <c r="A98" s="125" t="s">
        <v>471</v>
      </c>
      <c r="B98" s="126" t="s">
        <v>286</v>
      </c>
      <c r="C98" s="125" t="s">
        <v>472</v>
      </c>
      <c r="D98" s="126" t="s">
        <v>287</v>
      </c>
      <c r="E98" s="127" t="s">
        <v>29</v>
      </c>
      <c r="F98" s="128" t="s">
        <v>403</v>
      </c>
      <c r="G98" s="127" t="s">
        <v>297</v>
      </c>
      <c r="H98" s="127" t="s">
        <v>401</v>
      </c>
      <c r="I98" s="127" t="s">
        <v>457</v>
      </c>
      <c r="J98" s="127" t="s">
        <v>404</v>
      </c>
      <c r="K98" s="127" t="s">
        <v>298</v>
      </c>
      <c r="L98" s="127" t="s">
        <v>402</v>
      </c>
      <c r="M98" s="127" t="s">
        <v>458</v>
      </c>
    </row>
    <row r="99" spans="1:13" ht="12.45" x14ac:dyDescent="0.3">
      <c r="A99" s="145"/>
      <c r="B99" s="166"/>
      <c r="C99" s="147"/>
      <c r="D99" s="153"/>
      <c r="E99" s="148"/>
      <c r="F99" s="167"/>
      <c r="G99" s="139"/>
      <c r="H99" s="168"/>
      <c r="I99" s="168"/>
      <c r="J99" s="151"/>
      <c r="K99" s="169"/>
      <c r="L99" s="152"/>
      <c r="M99" s="152"/>
    </row>
    <row r="100" spans="1:13" ht="27.75" customHeight="1" x14ac:dyDescent="0.3">
      <c r="A100" s="140"/>
      <c r="B100" s="140"/>
      <c r="C100" s="140"/>
      <c r="D100" s="141"/>
      <c r="E100" s="141"/>
      <c r="F100" s="141"/>
      <c r="G100" s="141"/>
      <c r="H100" s="141"/>
      <c r="I100" s="142"/>
      <c r="J100" s="143"/>
      <c r="K100" s="143"/>
      <c r="L100" s="140"/>
      <c r="M100" s="144"/>
    </row>
    <row r="101" spans="1:13" ht="27.75" customHeight="1" x14ac:dyDescent="0.3">
      <c r="A101" s="140"/>
      <c r="B101" s="140"/>
      <c r="C101" s="140"/>
      <c r="D101" s="141"/>
      <c r="E101" s="141"/>
      <c r="F101" s="141"/>
      <c r="G101" s="141"/>
      <c r="H101" s="141"/>
      <c r="I101" s="142"/>
      <c r="J101" s="143"/>
      <c r="K101" s="143"/>
      <c r="L101" s="140"/>
      <c r="M101" s="144"/>
    </row>
    <row r="102" spans="1:13" ht="40" customHeight="1" x14ac:dyDescent="0.3">
      <c r="A102" s="553" t="str">
        <f>Overview!B4&amp;" - Effective from "&amp;Overview!D4&amp;" - Final Schedule of Charges for use of the Distribution System by EHV Properties (including LDNOs with EHV Properties/end-users) in WPD South Wales Area (GSP Group_K)"</f>
        <v>Indigo Power Limited - Effective from 1 April 2023 - Final Schedule of Charges for use of the Distribution System by EHV Properties (including LDNOs with EHV Properties/end-users) in WPD South Wales Area (GSP Group_K)</v>
      </c>
      <c r="B102" s="554"/>
      <c r="C102" s="554"/>
      <c r="D102" s="554"/>
      <c r="E102" s="554"/>
      <c r="F102" s="554"/>
      <c r="G102" s="554"/>
      <c r="H102" s="554"/>
      <c r="I102" s="554"/>
      <c r="J102" s="554"/>
      <c r="K102" s="554"/>
      <c r="L102" s="592"/>
      <c r="M102" s="593"/>
    </row>
    <row r="103" spans="1:13" ht="27.75" customHeight="1" x14ac:dyDescent="0.3">
      <c r="A103" s="123"/>
      <c r="B103" s="123"/>
      <c r="C103" s="123"/>
      <c r="D103" s="123"/>
      <c r="E103" s="123"/>
      <c r="F103" s="123"/>
      <c r="G103" s="123"/>
      <c r="H103" s="123"/>
      <c r="I103" s="123"/>
      <c r="J103" s="123"/>
      <c r="K103" s="123"/>
      <c r="L103" s="123"/>
      <c r="M103" s="123"/>
    </row>
    <row r="104" spans="1:13" ht="27.75" customHeight="1" x14ac:dyDescent="0.3">
      <c r="A104" s="594" t="s">
        <v>470</v>
      </c>
      <c r="B104" s="595"/>
      <c r="C104" s="595"/>
      <c r="D104" s="595"/>
      <c r="E104" s="595"/>
      <c r="F104" s="596"/>
      <c r="G104" s="123"/>
      <c r="H104" s="123"/>
      <c r="I104" s="123"/>
      <c r="J104" s="123"/>
      <c r="K104" s="123"/>
      <c r="L104" s="123"/>
      <c r="M104" s="123"/>
    </row>
    <row r="105" spans="1:13" ht="27.75" customHeight="1" x14ac:dyDescent="0.3">
      <c r="A105" s="622" t="s">
        <v>13</v>
      </c>
      <c r="B105" s="623"/>
      <c r="C105" s="623"/>
      <c r="D105" s="624" t="s">
        <v>304</v>
      </c>
      <c r="E105" s="625"/>
      <c r="F105" s="626"/>
      <c r="G105" s="123"/>
      <c r="H105" s="123"/>
      <c r="I105" s="123"/>
      <c r="J105" s="123"/>
      <c r="K105" s="123"/>
      <c r="L105" s="123"/>
      <c r="M105" s="123"/>
    </row>
    <row r="106" spans="1:13" ht="45" customHeight="1" x14ac:dyDescent="0.3">
      <c r="A106" s="632" t="s">
        <v>474</v>
      </c>
      <c r="B106" s="632"/>
      <c r="C106" s="632"/>
      <c r="D106" s="633" t="s">
        <v>475</v>
      </c>
      <c r="E106" s="634"/>
      <c r="F106" s="635"/>
      <c r="G106" s="123"/>
      <c r="H106" s="123"/>
      <c r="I106" s="123"/>
      <c r="J106" s="123"/>
      <c r="K106" s="123"/>
      <c r="L106" s="123"/>
      <c r="M106" s="123"/>
    </row>
    <row r="107" spans="1:13" ht="20.25" customHeight="1" x14ac:dyDescent="0.3">
      <c r="A107" s="603" t="s">
        <v>14</v>
      </c>
      <c r="B107" s="603"/>
      <c r="C107" s="603"/>
      <c r="D107" s="542" t="s">
        <v>15</v>
      </c>
      <c r="E107" s="604"/>
      <c r="F107" s="543"/>
      <c r="G107" s="123"/>
      <c r="H107" s="123"/>
      <c r="I107" s="123"/>
      <c r="J107" s="123"/>
      <c r="K107" s="123"/>
      <c r="L107" s="123"/>
      <c r="M107" s="123"/>
    </row>
    <row r="108" spans="1:13" ht="27.75" customHeight="1" x14ac:dyDescent="0.3">
      <c r="A108" s="627"/>
      <c r="B108" s="627"/>
      <c r="C108" s="627"/>
      <c r="D108" s="636"/>
      <c r="E108" s="637"/>
      <c r="F108" s="638"/>
      <c r="G108" s="123"/>
      <c r="H108" s="123"/>
      <c r="I108" s="123"/>
      <c r="J108" s="123"/>
      <c r="K108" s="123"/>
      <c r="L108" s="123"/>
      <c r="M108" s="123"/>
    </row>
    <row r="109" spans="1:13" ht="63.75" customHeight="1" x14ac:dyDescent="0.3">
      <c r="A109" s="125" t="s">
        <v>471</v>
      </c>
      <c r="B109" s="126" t="s">
        <v>286</v>
      </c>
      <c r="C109" s="125" t="s">
        <v>472</v>
      </c>
      <c r="D109" s="126" t="s">
        <v>287</v>
      </c>
      <c r="E109" s="127" t="s">
        <v>29</v>
      </c>
      <c r="F109" s="128" t="s">
        <v>403</v>
      </c>
      <c r="G109" s="127" t="s">
        <v>297</v>
      </c>
      <c r="H109" s="127" t="s">
        <v>401</v>
      </c>
      <c r="I109" s="127" t="s">
        <v>457</v>
      </c>
      <c r="J109" s="127" t="s">
        <v>404</v>
      </c>
      <c r="K109" s="127" t="s">
        <v>298</v>
      </c>
      <c r="L109" s="127" t="s">
        <v>402</v>
      </c>
      <c r="M109" s="127" t="s">
        <v>458</v>
      </c>
    </row>
    <row r="110" spans="1:13" ht="15" customHeight="1" x14ac:dyDescent="0.3">
      <c r="A110" s="145"/>
      <c r="B110" s="146"/>
      <c r="C110" s="147"/>
      <c r="D110" s="146"/>
      <c r="E110" s="148"/>
      <c r="F110" s="149"/>
      <c r="G110" s="150"/>
      <c r="H110" s="150"/>
      <c r="I110" s="150"/>
      <c r="J110" s="151"/>
      <c r="K110" s="152"/>
      <c r="L110" s="152"/>
      <c r="M110" s="152"/>
    </row>
    <row r="111" spans="1:13" ht="27.75" customHeight="1" x14ac:dyDescent="0.3">
      <c r="A111" s="140"/>
      <c r="B111" s="140"/>
      <c r="C111" s="140"/>
      <c r="D111" s="141"/>
      <c r="E111" s="141"/>
      <c r="F111" s="141"/>
      <c r="G111" s="141"/>
      <c r="H111" s="141"/>
      <c r="I111" s="142"/>
      <c r="J111" s="143"/>
      <c r="K111" s="143"/>
      <c r="L111" s="140"/>
      <c r="M111" s="144"/>
    </row>
    <row r="112" spans="1:13" ht="27.75" customHeight="1" x14ac:dyDescent="0.3">
      <c r="A112" s="140"/>
      <c r="B112" s="140"/>
      <c r="C112" s="140"/>
      <c r="D112" s="141"/>
      <c r="E112" s="141"/>
      <c r="F112" s="141"/>
      <c r="G112" s="141"/>
      <c r="H112" s="141"/>
      <c r="I112" s="142"/>
      <c r="J112" s="143"/>
      <c r="K112" s="143"/>
      <c r="L112" s="140"/>
      <c r="M112" s="144"/>
    </row>
    <row r="113" spans="1:13" ht="40" customHeight="1" x14ac:dyDescent="0.3">
      <c r="A113" s="553" t="str">
        <f>Overview!B4&amp;" - Effective from "&amp;Overview!D4&amp;" - Final Schedule of Charges for use of the Distribution System by EHV Properties (including LDNOs with EHV Properties/end-users) in WPD South West Area (GSP Group_L)"</f>
        <v>Indigo Power Limited - Effective from 1 April 2023 - Final Schedule of Charges for use of the Distribution System by EHV Properties (including LDNOs with EHV Properties/end-users) in WPD South West Area (GSP Group_L)</v>
      </c>
      <c r="B113" s="554"/>
      <c r="C113" s="554"/>
      <c r="D113" s="554"/>
      <c r="E113" s="554"/>
      <c r="F113" s="554"/>
      <c r="G113" s="554"/>
      <c r="H113" s="554"/>
      <c r="I113" s="554"/>
      <c r="J113" s="554"/>
      <c r="K113" s="554"/>
      <c r="L113" s="592"/>
      <c r="M113" s="593"/>
    </row>
    <row r="114" spans="1:13" ht="27.75" customHeight="1" x14ac:dyDescent="0.3">
      <c r="A114" s="123"/>
      <c r="B114" s="123"/>
      <c r="C114" s="123"/>
      <c r="D114" s="123"/>
      <c r="E114" s="123"/>
      <c r="F114" s="123"/>
      <c r="G114" s="123"/>
      <c r="H114" s="123"/>
      <c r="I114" s="123"/>
      <c r="J114" s="123"/>
      <c r="K114" s="123"/>
      <c r="L114" s="123"/>
      <c r="M114" s="123"/>
    </row>
    <row r="115" spans="1:13" ht="27.75" customHeight="1" x14ac:dyDescent="0.3">
      <c r="A115" s="594" t="s">
        <v>470</v>
      </c>
      <c r="B115" s="595"/>
      <c r="C115" s="595"/>
      <c r="D115" s="595"/>
      <c r="E115" s="595"/>
      <c r="F115" s="596"/>
      <c r="G115" s="123"/>
      <c r="H115" s="123"/>
      <c r="I115" s="123"/>
      <c r="J115" s="123"/>
      <c r="K115" s="123"/>
      <c r="L115" s="123"/>
      <c r="M115" s="123"/>
    </row>
    <row r="116" spans="1:13" ht="27.75" customHeight="1" x14ac:dyDescent="0.3">
      <c r="A116" s="614" t="s">
        <v>13</v>
      </c>
      <c r="B116" s="615"/>
      <c r="C116" s="615"/>
      <c r="D116" s="600" t="s">
        <v>304</v>
      </c>
      <c r="E116" s="601"/>
      <c r="F116" s="602"/>
      <c r="G116" s="123"/>
      <c r="H116" s="123"/>
      <c r="I116" s="123"/>
      <c r="J116" s="123"/>
      <c r="K116" s="123"/>
      <c r="L116" s="123"/>
      <c r="M116" s="123"/>
    </row>
    <row r="117" spans="1:13" ht="45" customHeight="1" x14ac:dyDescent="0.3">
      <c r="A117" s="603" t="s">
        <v>474</v>
      </c>
      <c r="B117" s="603"/>
      <c r="C117" s="603"/>
      <c r="D117" s="542" t="s">
        <v>476</v>
      </c>
      <c r="E117" s="604"/>
      <c r="F117" s="543"/>
      <c r="G117" s="123"/>
      <c r="H117" s="123"/>
      <c r="I117" s="123"/>
      <c r="J117" s="123"/>
      <c r="K117" s="123"/>
      <c r="L117" s="123"/>
      <c r="M117" s="123"/>
    </row>
    <row r="118" spans="1:13" ht="20.25" customHeight="1" x14ac:dyDescent="0.3">
      <c r="A118" s="603" t="s">
        <v>14</v>
      </c>
      <c r="B118" s="603"/>
      <c r="C118" s="603"/>
      <c r="D118" s="542" t="s">
        <v>15</v>
      </c>
      <c r="E118" s="604"/>
      <c r="F118" s="543"/>
      <c r="G118" s="123"/>
      <c r="H118" s="123"/>
      <c r="I118" s="123"/>
      <c r="J118" s="123"/>
      <c r="K118" s="123"/>
      <c r="L118" s="123"/>
      <c r="M118" s="123"/>
    </row>
    <row r="119" spans="1:13" ht="27.75" customHeight="1" x14ac:dyDescent="0.3">
      <c r="A119" s="639"/>
      <c r="B119" s="639"/>
      <c r="C119" s="639"/>
      <c r="D119" s="640"/>
      <c r="E119" s="641"/>
      <c r="F119" s="642"/>
      <c r="G119" s="123"/>
      <c r="H119" s="123"/>
      <c r="I119" s="123"/>
      <c r="J119" s="123"/>
      <c r="K119" s="123"/>
      <c r="L119" s="123"/>
      <c r="M119" s="123"/>
    </row>
    <row r="120" spans="1:13" ht="63.75" customHeight="1" x14ac:dyDescent="0.3">
      <c r="A120" s="125" t="s">
        <v>471</v>
      </c>
      <c r="B120" s="126" t="s">
        <v>286</v>
      </c>
      <c r="C120" s="125" t="s">
        <v>472</v>
      </c>
      <c r="D120" s="126" t="s">
        <v>287</v>
      </c>
      <c r="E120" s="127" t="s">
        <v>29</v>
      </c>
      <c r="F120" s="128" t="s">
        <v>403</v>
      </c>
      <c r="G120" s="127" t="s">
        <v>297</v>
      </c>
      <c r="H120" s="127" t="s">
        <v>401</v>
      </c>
      <c r="I120" s="127" t="s">
        <v>457</v>
      </c>
      <c r="J120" s="127" t="s">
        <v>404</v>
      </c>
      <c r="K120" s="127" t="s">
        <v>298</v>
      </c>
      <c r="L120" s="127" t="s">
        <v>402</v>
      </c>
      <c r="M120" s="127" t="s">
        <v>458</v>
      </c>
    </row>
    <row r="121" spans="1:13" ht="15" customHeight="1" x14ac:dyDescent="0.3">
      <c r="A121" s="145"/>
      <c r="B121" s="146"/>
      <c r="C121" s="146"/>
      <c r="D121" s="159"/>
      <c r="E121" s="146"/>
      <c r="F121" s="149"/>
      <c r="G121" s="150"/>
      <c r="H121" s="150"/>
      <c r="I121" s="150"/>
      <c r="J121" s="151"/>
      <c r="K121" s="152"/>
      <c r="L121" s="152"/>
      <c r="M121" s="152"/>
    </row>
    <row r="122" spans="1:13" ht="27.75" customHeight="1" x14ac:dyDescent="0.3">
      <c r="A122" s="140"/>
      <c r="B122" s="140"/>
      <c r="C122" s="140"/>
      <c r="D122" s="141"/>
      <c r="E122" s="141"/>
      <c r="F122" s="141"/>
      <c r="G122" s="141"/>
      <c r="H122" s="141"/>
      <c r="I122" s="142"/>
      <c r="J122" s="143"/>
      <c r="K122" s="143"/>
      <c r="L122" s="140"/>
      <c r="M122" s="144"/>
    </row>
    <row r="123" spans="1:13" ht="27.75" customHeight="1" x14ac:dyDescent="0.3">
      <c r="A123" s="140"/>
      <c r="B123" s="140"/>
      <c r="C123" s="140"/>
      <c r="D123" s="141"/>
      <c r="E123" s="141"/>
      <c r="F123" s="141"/>
      <c r="G123" s="141"/>
      <c r="H123" s="141"/>
      <c r="I123" s="142"/>
      <c r="J123" s="143"/>
      <c r="K123" s="143"/>
      <c r="L123" s="140"/>
      <c r="M123" s="144"/>
    </row>
    <row r="124" spans="1:13" ht="40" customHeight="1" x14ac:dyDescent="0.3">
      <c r="A124" s="553" t="str">
        <f>Overview!B4&amp;" - Effective from "&amp;Overview!D4&amp;" - Final Schedule of Charges for use of the Distribution System by EHV Properties (including LDNOs with EHV Properties/end-users) in NPG Yorkshire Area (GSP Group_M)"</f>
        <v>Indigo Power Limited - Effective from 1 April 2023 - Final Schedule of Charges for use of the Distribution System by EHV Properties (including LDNOs with EHV Properties/end-users) in NPG Yorkshire Area (GSP Group_M)</v>
      </c>
      <c r="B124" s="554"/>
      <c r="C124" s="554"/>
      <c r="D124" s="554"/>
      <c r="E124" s="554"/>
      <c r="F124" s="554"/>
      <c r="G124" s="554"/>
      <c r="H124" s="554"/>
      <c r="I124" s="554"/>
      <c r="J124" s="554"/>
      <c r="K124" s="554"/>
      <c r="L124" s="592"/>
      <c r="M124" s="593"/>
    </row>
    <row r="125" spans="1:13" ht="27.75" customHeight="1" x14ac:dyDescent="0.3">
      <c r="A125" s="123"/>
      <c r="B125" s="123"/>
      <c r="C125" s="123"/>
      <c r="D125" s="123"/>
      <c r="E125" s="123"/>
      <c r="F125" s="123"/>
      <c r="G125" s="123"/>
      <c r="H125" s="123"/>
      <c r="I125" s="123"/>
      <c r="J125" s="123"/>
      <c r="K125" s="123"/>
      <c r="L125" s="123"/>
      <c r="M125" s="123"/>
    </row>
    <row r="126" spans="1:13" ht="27.75" customHeight="1" x14ac:dyDescent="0.3">
      <c r="A126" s="594" t="s">
        <v>470</v>
      </c>
      <c r="B126" s="595"/>
      <c r="C126" s="595"/>
      <c r="D126" s="595"/>
      <c r="E126" s="595"/>
      <c r="F126" s="596"/>
      <c r="G126" s="123"/>
      <c r="H126" s="123"/>
      <c r="I126" s="123"/>
      <c r="J126" s="123"/>
      <c r="K126" s="123"/>
      <c r="L126" s="123"/>
      <c r="M126" s="123"/>
    </row>
    <row r="127" spans="1:13" ht="27.75" customHeight="1" x14ac:dyDescent="0.3">
      <c r="A127" s="597" t="s">
        <v>13</v>
      </c>
      <c r="B127" s="598"/>
      <c r="C127" s="599"/>
      <c r="D127" s="600" t="s">
        <v>304</v>
      </c>
      <c r="E127" s="601"/>
      <c r="F127" s="602"/>
      <c r="G127" s="123"/>
      <c r="H127" s="123"/>
      <c r="I127" s="123"/>
      <c r="J127" s="123"/>
      <c r="K127" s="123"/>
      <c r="L127" s="123"/>
      <c r="M127" s="123"/>
    </row>
    <row r="128" spans="1:13" ht="45" customHeight="1" x14ac:dyDescent="0.3">
      <c r="A128" s="539" t="s">
        <v>303</v>
      </c>
      <c r="B128" s="540"/>
      <c r="C128" s="541"/>
      <c r="D128" s="542" t="s">
        <v>493</v>
      </c>
      <c r="E128" s="604"/>
      <c r="F128" s="543"/>
      <c r="G128" s="123"/>
      <c r="H128" s="123"/>
      <c r="I128" s="123"/>
      <c r="J128" s="123"/>
      <c r="K128" s="123"/>
      <c r="L128" s="123"/>
      <c r="M128" s="123"/>
    </row>
    <row r="129" spans="1:13" ht="20.25" customHeight="1" x14ac:dyDescent="0.3">
      <c r="A129" s="603" t="s">
        <v>14</v>
      </c>
      <c r="B129" s="603"/>
      <c r="C129" s="603"/>
      <c r="D129" s="542" t="s">
        <v>15</v>
      </c>
      <c r="E129" s="604"/>
      <c r="F129" s="543"/>
      <c r="G129" s="123"/>
      <c r="H129" s="158"/>
      <c r="I129" s="158"/>
      <c r="J129" s="158"/>
      <c r="K129" s="158"/>
      <c r="L129" s="158"/>
      <c r="M129" s="158"/>
    </row>
    <row r="130" spans="1:13" ht="27.75" customHeight="1" x14ac:dyDescent="0.3">
      <c r="A130" s="123"/>
      <c r="B130" s="123"/>
      <c r="C130" s="123"/>
      <c r="D130" s="123"/>
      <c r="E130" s="123"/>
      <c r="F130" s="123"/>
      <c r="G130" s="123"/>
      <c r="H130" s="123"/>
      <c r="I130" s="123"/>
      <c r="J130" s="123"/>
      <c r="K130" s="123"/>
      <c r="L130" s="123"/>
      <c r="M130" s="123"/>
    </row>
    <row r="131" spans="1:13" ht="63.75" customHeight="1" x14ac:dyDescent="0.3">
      <c r="A131" s="125" t="s">
        <v>471</v>
      </c>
      <c r="B131" s="126" t="s">
        <v>286</v>
      </c>
      <c r="C131" s="125" t="s">
        <v>472</v>
      </c>
      <c r="D131" s="126" t="s">
        <v>287</v>
      </c>
      <c r="E131" s="127" t="s">
        <v>29</v>
      </c>
      <c r="F131" s="128" t="s">
        <v>403</v>
      </c>
      <c r="G131" s="127" t="s">
        <v>297</v>
      </c>
      <c r="H131" s="127" t="s">
        <v>401</v>
      </c>
      <c r="I131" s="127" t="s">
        <v>457</v>
      </c>
      <c r="J131" s="127" t="s">
        <v>404</v>
      </c>
      <c r="K131" s="127" t="s">
        <v>298</v>
      </c>
      <c r="L131" s="127" t="s">
        <v>402</v>
      </c>
      <c r="M131" s="127" t="s">
        <v>458</v>
      </c>
    </row>
    <row r="132" spans="1:13" ht="15" customHeight="1" x14ac:dyDescent="0.3">
      <c r="A132" s="171"/>
      <c r="B132" s="159"/>
      <c r="C132" s="171"/>
      <c r="D132" s="159"/>
      <c r="E132" s="148"/>
      <c r="F132" s="172"/>
      <c r="G132" s="173"/>
      <c r="H132" s="173"/>
      <c r="I132" s="173"/>
      <c r="J132" s="174"/>
      <c r="K132" s="175"/>
      <c r="L132" s="175"/>
      <c r="M132" s="175"/>
    </row>
    <row r="133" spans="1:13" ht="27.75" customHeight="1" x14ac:dyDescent="0.3">
      <c r="C133" s="120"/>
      <c r="D133" s="120"/>
      <c r="E133" s="120"/>
      <c r="F133" s="120"/>
      <c r="G133" s="120"/>
      <c r="H133" s="120"/>
      <c r="I133" s="120"/>
    </row>
    <row r="134" spans="1:13" ht="27.75" customHeight="1" x14ac:dyDescent="0.3">
      <c r="A134" s="140"/>
      <c r="B134" s="140"/>
      <c r="C134" s="140"/>
      <c r="D134" s="141"/>
      <c r="E134" s="141"/>
      <c r="F134" s="141"/>
      <c r="G134" s="141"/>
      <c r="H134" s="141"/>
      <c r="I134" s="142"/>
      <c r="J134" s="143"/>
      <c r="K134" s="143"/>
      <c r="L134" s="140"/>
      <c r="M134" s="144"/>
    </row>
    <row r="135" spans="1:13" ht="40" customHeight="1" x14ac:dyDescent="0.3">
      <c r="A135" s="553" t="str">
        <f>Overview!B4&amp;" - Effective from "&amp;Overview!D4&amp;" - Final Schedule of Charges for use of the Distribution System by EHV Properties (including LDNOs with EHV Properties/end-users) in SP Distribution Area (GSP Group_N)"</f>
        <v>Indigo Power Limited - Effective from 1 April 2023 - Final Schedule of Charges for use of the Distribution System by EHV Properties (including LDNOs with EHV Properties/end-users) in SP Distribution Area (GSP Group_N)</v>
      </c>
      <c r="B135" s="554"/>
      <c r="C135" s="554"/>
      <c r="D135" s="554"/>
      <c r="E135" s="554"/>
      <c r="F135" s="554"/>
      <c r="G135" s="554"/>
      <c r="H135" s="554"/>
      <c r="I135" s="554"/>
      <c r="J135" s="554"/>
      <c r="K135" s="554"/>
      <c r="L135" s="554"/>
      <c r="M135" s="555"/>
    </row>
    <row r="136" spans="1:13" ht="27.75" customHeight="1" x14ac:dyDescent="0.3">
      <c r="A136" s="123"/>
      <c r="B136" s="123"/>
      <c r="C136" s="123"/>
      <c r="D136" s="123"/>
      <c r="E136" s="123"/>
      <c r="F136" s="123"/>
      <c r="G136" s="123"/>
      <c r="H136" s="123"/>
      <c r="I136" s="124"/>
      <c r="J136" s="123"/>
      <c r="K136" s="123"/>
      <c r="L136" s="123"/>
      <c r="M136" s="124"/>
    </row>
    <row r="137" spans="1:13" ht="27.75" customHeight="1" x14ac:dyDescent="0.3">
      <c r="A137" s="594" t="s">
        <v>470</v>
      </c>
      <c r="B137" s="595"/>
      <c r="C137" s="595"/>
      <c r="D137" s="595"/>
      <c r="E137" s="595"/>
      <c r="F137" s="596"/>
      <c r="G137" s="123"/>
      <c r="H137" s="123"/>
      <c r="I137" s="124"/>
      <c r="J137" s="123"/>
      <c r="K137" s="123"/>
      <c r="L137" s="123"/>
      <c r="M137" s="124"/>
    </row>
    <row r="138" spans="1:13" ht="27.75" customHeight="1" x14ac:dyDescent="0.3">
      <c r="A138" s="605" t="s">
        <v>13</v>
      </c>
      <c r="B138" s="606"/>
      <c r="C138" s="606"/>
      <c r="D138" s="607" t="s">
        <v>304</v>
      </c>
      <c r="E138" s="608"/>
      <c r="F138" s="609"/>
      <c r="G138" s="123"/>
      <c r="H138" s="123"/>
      <c r="I138" s="124"/>
      <c r="J138" s="123"/>
      <c r="K138" s="123"/>
      <c r="L138" s="123"/>
      <c r="M138" s="124"/>
    </row>
    <row r="139" spans="1:13" ht="40" customHeight="1" x14ac:dyDescent="0.3">
      <c r="A139" s="603" t="s">
        <v>302</v>
      </c>
      <c r="B139" s="603"/>
      <c r="C139" s="603"/>
      <c r="D139" s="610"/>
      <c r="E139" s="610"/>
      <c r="F139" s="610"/>
      <c r="G139" s="123"/>
      <c r="H139" s="123"/>
      <c r="I139" s="124"/>
      <c r="J139" s="123"/>
      <c r="K139" s="123"/>
      <c r="L139" s="123"/>
      <c r="M139" s="124"/>
    </row>
    <row r="140" spans="1:13" ht="40" customHeight="1" x14ac:dyDescent="0.3">
      <c r="A140" s="603" t="s">
        <v>303</v>
      </c>
      <c r="B140" s="603"/>
      <c r="C140" s="603"/>
      <c r="D140" s="568" t="s">
        <v>473</v>
      </c>
      <c r="E140" s="568"/>
      <c r="F140" s="568"/>
      <c r="G140" s="123"/>
      <c r="H140" s="123"/>
      <c r="I140" s="124"/>
      <c r="J140" s="123"/>
      <c r="K140" s="123"/>
      <c r="L140" s="123"/>
      <c r="M140" s="124"/>
    </row>
    <row r="141" spans="1:13" ht="27.75" customHeight="1" x14ac:dyDescent="0.3">
      <c r="A141" s="603" t="s">
        <v>14</v>
      </c>
      <c r="B141" s="603"/>
      <c r="C141" s="603"/>
      <c r="D141" s="568" t="s">
        <v>15</v>
      </c>
      <c r="E141" s="568"/>
      <c r="F141" s="568"/>
      <c r="G141" s="123"/>
      <c r="H141" s="123"/>
      <c r="I141" s="124"/>
      <c r="J141" s="123"/>
      <c r="K141" s="123"/>
      <c r="L141" s="123"/>
      <c r="M141" s="124"/>
    </row>
    <row r="142" spans="1:13" ht="27.75" customHeight="1" x14ac:dyDescent="0.3">
      <c r="A142" s="123"/>
      <c r="B142" s="123"/>
      <c r="C142" s="123"/>
      <c r="D142" s="123"/>
      <c r="E142" s="123"/>
      <c r="F142" s="123"/>
      <c r="G142" s="123"/>
      <c r="H142" s="123"/>
      <c r="I142" s="124"/>
      <c r="J142" s="123"/>
      <c r="K142" s="123"/>
      <c r="L142" s="123"/>
      <c r="M142" s="124"/>
    </row>
    <row r="143" spans="1:13" ht="64" customHeight="1" x14ac:dyDescent="0.3">
      <c r="A143" s="125" t="s">
        <v>471</v>
      </c>
      <c r="B143" s="126" t="s">
        <v>286</v>
      </c>
      <c r="C143" s="125" t="s">
        <v>472</v>
      </c>
      <c r="D143" s="126" t="s">
        <v>287</v>
      </c>
      <c r="E143" s="127" t="s">
        <v>29</v>
      </c>
      <c r="F143" s="128" t="s">
        <v>403</v>
      </c>
      <c r="G143" s="127" t="s">
        <v>297</v>
      </c>
      <c r="H143" s="127" t="s">
        <v>401</v>
      </c>
      <c r="I143" s="127" t="s">
        <v>457</v>
      </c>
      <c r="J143" s="127" t="s">
        <v>404</v>
      </c>
      <c r="K143" s="127" t="s">
        <v>298</v>
      </c>
      <c r="L143" s="127" t="s">
        <v>402</v>
      </c>
      <c r="M143" s="127" t="s">
        <v>458</v>
      </c>
    </row>
    <row r="144" spans="1:13" ht="27.75" customHeight="1" x14ac:dyDescent="0.3">
      <c r="A144" s="145"/>
      <c r="B144" s="166"/>
      <c r="C144" s="147"/>
      <c r="D144" s="153"/>
      <c r="E144" s="148"/>
      <c r="F144" s="167"/>
      <c r="G144" s="139"/>
      <c r="H144" s="168"/>
      <c r="I144" s="168"/>
      <c r="J144" s="151"/>
      <c r="K144" s="169"/>
      <c r="L144" s="152"/>
      <c r="M144" s="152"/>
    </row>
    <row r="145" spans="1:13" ht="27.75" customHeight="1" x14ac:dyDescent="0.3">
      <c r="C145" s="120"/>
      <c r="D145" s="120"/>
      <c r="E145" s="120"/>
      <c r="F145" s="120"/>
      <c r="G145" s="120"/>
      <c r="H145" s="120"/>
      <c r="I145" s="120"/>
    </row>
    <row r="146" spans="1:13" ht="27.75" customHeight="1" x14ac:dyDescent="0.3">
      <c r="A146" s="140"/>
      <c r="B146" s="140"/>
      <c r="C146" s="140"/>
      <c r="D146" s="141"/>
      <c r="E146" s="141"/>
      <c r="F146" s="141"/>
      <c r="G146" s="141"/>
      <c r="H146" s="141"/>
      <c r="I146" s="142"/>
      <c r="J146" s="143"/>
      <c r="K146" s="143"/>
      <c r="L146" s="140"/>
      <c r="M146" s="144"/>
    </row>
    <row r="147" spans="1:13" ht="48.75" customHeight="1" x14ac:dyDescent="0.3">
      <c r="A147" s="553" t="str">
        <f>Overview!$B$4&amp;" - Effective from "&amp;Overview!$D$4&amp;" - Final Schedule of Charges for use of the Distribution System by EHV Properties (including LDNOs with EHV Properties/end-users) in SSE SHEPD Area (GSP Group_P)"</f>
        <v>Indigo Power Limited - Effective from 1 April 2023 - Final Schedule of Charges for use of the Distribution System by EHV Properties (including LDNOs with EHV Properties/end-users) in SSE SHEPD Area (GSP Group_P)</v>
      </c>
      <c r="B147" s="554"/>
      <c r="C147" s="554"/>
      <c r="D147" s="554"/>
      <c r="E147" s="554"/>
      <c r="F147" s="554"/>
      <c r="G147" s="554"/>
      <c r="H147" s="554"/>
      <c r="I147" s="554"/>
      <c r="J147" s="554"/>
      <c r="K147" s="554"/>
      <c r="L147" s="592"/>
      <c r="M147" s="593"/>
    </row>
    <row r="148" spans="1:13" ht="27.75" customHeight="1" x14ac:dyDescent="0.3">
      <c r="A148" s="140"/>
      <c r="B148" s="140"/>
      <c r="C148" s="140"/>
      <c r="D148" s="141"/>
      <c r="E148" s="141"/>
      <c r="F148" s="141"/>
      <c r="G148" s="141"/>
      <c r="H148" s="141"/>
      <c r="I148" s="142"/>
      <c r="J148" s="143"/>
      <c r="K148" s="143"/>
      <c r="L148" s="140"/>
      <c r="M148" s="144"/>
    </row>
    <row r="149" spans="1:13" ht="27.75" customHeight="1" x14ac:dyDescent="0.3">
      <c r="A149" s="594" t="s">
        <v>470</v>
      </c>
      <c r="B149" s="595"/>
      <c r="C149" s="595"/>
      <c r="D149" s="595"/>
      <c r="E149" s="595"/>
      <c r="F149" s="596"/>
      <c r="G149" s="141"/>
      <c r="H149" s="141"/>
      <c r="I149" s="142"/>
      <c r="J149" s="143"/>
      <c r="K149" s="143"/>
      <c r="L149" s="140"/>
      <c r="M149" s="144"/>
    </row>
    <row r="150" spans="1:13" ht="27.75" customHeight="1" x14ac:dyDescent="0.3">
      <c r="A150" s="597" t="s">
        <v>13</v>
      </c>
      <c r="B150" s="598"/>
      <c r="C150" s="599"/>
      <c r="D150" s="600" t="s">
        <v>304</v>
      </c>
      <c r="E150" s="601"/>
      <c r="F150" s="602"/>
      <c r="G150" s="141"/>
      <c r="H150" s="141"/>
      <c r="I150" s="142"/>
      <c r="J150" s="143"/>
      <c r="K150" s="143"/>
      <c r="L150" s="140"/>
      <c r="M150" s="144"/>
    </row>
    <row r="151" spans="1:13" ht="48" customHeight="1" x14ac:dyDescent="0.3">
      <c r="A151" s="603" t="s">
        <v>303</v>
      </c>
      <c r="B151" s="603"/>
      <c r="C151" s="603"/>
      <c r="D151" s="568" t="s">
        <v>465</v>
      </c>
      <c r="E151" s="568"/>
      <c r="F151" s="568"/>
      <c r="G151" s="141"/>
      <c r="H151" s="141"/>
      <c r="I151" s="142"/>
      <c r="J151" s="143"/>
      <c r="K151" s="143"/>
      <c r="L151" s="140"/>
      <c r="M151" s="144"/>
    </row>
    <row r="152" spans="1:13" ht="27.75" customHeight="1" x14ac:dyDescent="0.3">
      <c r="A152" s="603" t="s">
        <v>14</v>
      </c>
      <c r="B152" s="603"/>
      <c r="C152" s="603"/>
      <c r="D152" s="542" t="s">
        <v>15</v>
      </c>
      <c r="E152" s="604"/>
      <c r="F152" s="543"/>
      <c r="G152" s="141"/>
      <c r="H152" s="141"/>
      <c r="I152" s="142"/>
      <c r="J152" s="143"/>
      <c r="K152" s="143"/>
      <c r="L152" s="140"/>
      <c r="M152" s="144"/>
    </row>
    <row r="153" spans="1:13" ht="27.75" customHeight="1" x14ac:dyDescent="0.3">
      <c r="A153" s="140"/>
      <c r="B153" s="140"/>
      <c r="C153" s="140"/>
      <c r="D153" s="141"/>
      <c r="E153" s="141"/>
      <c r="F153" s="141"/>
      <c r="G153" s="141"/>
      <c r="H153" s="141"/>
      <c r="I153" s="142"/>
      <c r="J153" s="143"/>
      <c r="K153" s="143"/>
      <c r="L153" s="140"/>
      <c r="M153" s="144"/>
    </row>
    <row r="154" spans="1:13" ht="64" customHeight="1" x14ac:dyDescent="0.3">
      <c r="A154" s="125" t="s">
        <v>471</v>
      </c>
      <c r="B154" s="126" t="s">
        <v>286</v>
      </c>
      <c r="C154" s="125" t="s">
        <v>472</v>
      </c>
      <c r="D154" s="126" t="s">
        <v>287</v>
      </c>
      <c r="E154" s="127" t="s">
        <v>29</v>
      </c>
      <c r="F154" s="128" t="s">
        <v>403</v>
      </c>
      <c r="G154" s="127" t="s">
        <v>297</v>
      </c>
      <c r="H154" s="127" t="s">
        <v>401</v>
      </c>
      <c r="I154" s="127" t="s">
        <v>457</v>
      </c>
      <c r="J154" s="127" t="s">
        <v>404</v>
      </c>
      <c r="K154" s="127" t="s">
        <v>298</v>
      </c>
      <c r="L154" s="127" t="s">
        <v>402</v>
      </c>
      <c r="M154" s="127" t="s">
        <v>458</v>
      </c>
    </row>
    <row r="155" spans="1:13" ht="27.75" customHeight="1" x14ac:dyDescent="0.3">
      <c r="A155" s="147"/>
      <c r="B155" s="159"/>
      <c r="C155" s="147"/>
      <c r="D155" s="159"/>
      <c r="E155" s="148"/>
      <c r="F155" s="164"/>
      <c r="G155" s="165"/>
      <c r="H155" s="165"/>
      <c r="I155" s="165"/>
      <c r="J155" s="162"/>
      <c r="K155" s="163"/>
      <c r="L155" s="163"/>
      <c r="M155" s="163"/>
    </row>
    <row r="156" spans="1:13" ht="27.75" customHeight="1" x14ac:dyDescent="0.3">
      <c r="C156" s="120"/>
      <c r="D156" s="120"/>
      <c r="E156" s="120"/>
      <c r="F156" s="120"/>
      <c r="G156" s="120"/>
      <c r="H156" s="120"/>
      <c r="I156" s="120"/>
    </row>
    <row r="157" spans="1:13" ht="27.75" customHeight="1" x14ac:dyDescent="0.3">
      <c r="A157" s="140"/>
      <c r="B157" s="140"/>
      <c r="C157" s="140"/>
      <c r="D157" s="141"/>
      <c r="E157" s="141"/>
      <c r="F157" s="141"/>
      <c r="G157" s="141"/>
      <c r="H157" s="141"/>
      <c r="I157" s="142"/>
      <c r="J157" s="143"/>
      <c r="K157" s="143"/>
      <c r="L157" s="140"/>
      <c r="M157" s="144"/>
    </row>
  </sheetData>
  <sheetProtection autoFilter="0"/>
  <mergeCells count="126">
    <mergeCell ref="A129:C129"/>
    <mergeCell ref="D129:F129"/>
    <mergeCell ref="A124:M124"/>
    <mergeCell ref="A126:F126"/>
    <mergeCell ref="A127:C127"/>
    <mergeCell ref="D127:F127"/>
    <mergeCell ref="A128:C128"/>
    <mergeCell ref="D128:F128"/>
    <mergeCell ref="A115:F115"/>
    <mergeCell ref="A116:C116"/>
    <mergeCell ref="D116:F116"/>
    <mergeCell ref="A117:C117"/>
    <mergeCell ref="D117:F117"/>
    <mergeCell ref="A118:C118"/>
    <mergeCell ref="D118:F118"/>
    <mergeCell ref="A119:C119"/>
    <mergeCell ref="D119:F119"/>
    <mergeCell ref="A105:C105"/>
    <mergeCell ref="D105:F105"/>
    <mergeCell ref="A106:C106"/>
    <mergeCell ref="D106:F106"/>
    <mergeCell ref="A107:C107"/>
    <mergeCell ref="D107:F107"/>
    <mergeCell ref="A108:C108"/>
    <mergeCell ref="D108:F108"/>
    <mergeCell ref="A113:M113"/>
    <mergeCell ref="A74:C74"/>
    <mergeCell ref="D74:F74"/>
    <mergeCell ref="A104:F104"/>
    <mergeCell ref="A75:C75"/>
    <mergeCell ref="D75:F75"/>
    <mergeCell ref="A91:M91"/>
    <mergeCell ref="A93:F93"/>
    <mergeCell ref="A94:C94"/>
    <mergeCell ref="D94:F94"/>
    <mergeCell ref="A95:C95"/>
    <mergeCell ref="D95:F95"/>
    <mergeCell ref="A96:C96"/>
    <mergeCell ref="D96:F96"/>
    <mergeCell ref="A102:M102"/>
    <mergeCell ref="A80:M80"/>
    <mergeCell ref="A82:F82"/>
    <mergeCell ref="A83:C83"/>
    <mergeCell ref="D83:F83"/>
    <mergeCell ref="A84:C84"/>
    <mergeCell ref="D84:F84"/>
    <mergeCell ref="A85:C85"/>
    <mergeCell ref="D85:F85"/>
    <mergeCell ref="A62:C62"/>
    <mergeCell ref="D62:F62"/>
    <mergeCell ref="A63:C63"/>
    <mergeCell ref="D63:F63"/>
    <mergeCell ref="A64:C64"/>
    <mergeCell ref="D64:F64"/>
    <mergeCell ref="A70:M70"/>
    <mergeCell ref="A72:F72"/>
    <mergeCell ref="A73:C73"/>
    <mergeCell ref="D73:F73"/>
    <mergeCell ref="A39:C39"/>
    <mergeCell ref="D39:F39"/>
    <mergeCell ref="A40:C40"/>
    <mergeCell ref="D40:F40"/>
    <mergeCell ref="A41:C41"/>
    <mergeCell ref="D41:F41"/>
    <mergeCell ref="A42:C42"/>
    <mergeCell ref="D42:F42"/>
    <mergeCell ref="A61:F61"/>
    <mergeCell ref="A48:M48"/>
    <mergeCell ref="A50:F50"/>
    <mergeCell ref="A51:C51"/>
    <mergeCell ref="D51:F51"/>
    <mergeCell ref="A52:C52"/>
    <mergeCell ref="D52:F52"/>
    <mergeCell ref="A53:C53"/>
    <mergeCell ref="D53:F53"/>
    <mergeCell ref="A54:C54"/>
    <mergeCell ref="D54:F54"/>
    <mergeCell ref="A59:M59"/>
    <mergeCell ref="D27:F27"/>
    <mergeCell ref="A28:C28"/>
    <mergeCell ref="D28:F28"/>
    <mergeCell ref="A29:C29"/>
    <mergeCell ref="D29:F29"/>
    <mergeCell ref="A30:C30"/>
    <mergeCell ref="D30:F30"/>
    <mergeCell ref="A36:M36"/>
    <mergeCell ref="A38:F38"/>
    <mergeCell ref="A27:C27"/>
    <mergeCell ref="A6:C6"/>
    <mergeCell ref="D6:F6"/>
    <mergeCell ref="D1:M1"/>
    <mergeCell ref="A2:M2"/>
    <mergeCell ref="A4:F4"/>
    <mergeCell ref="A5:C5"/>
    <mergeCell ref="D5:F5"/>
    <mergeCell ref="A26:F26"/>
    <mergeCell ref="A7:C7"/>
    <mergeCell ref="D7:F7"/>
    <mergeCell ref="A13:M13"/>
    <mergeCell ref="A15:F15"/>
    <mergeCell ref="A16:C16"/>
    <mergeCell ref="D16:F16"/>
    <mergeCell ref="A17:C17"/>
    <mergeCell ref="D17:F17"/>
    <mergeCell ref="A18:C18"/>
    <mergeCell ref="D18:F18"/>
    <mergeCell ref="A24:M24"/>
    <mergeCell ref="G4:M4"/>
    <mergeCell ref="A147:M147"/>
    <mergeCell ref="A149:F149"/>
    <mergeCell ref="A150:C150"/>
    <mergeCell ref="D150:F150"/>
    <mergeCell ref="A151:C151"/>
    <mergeCell ref="D151:F151"/>
    <mergeCell ref="A152:C152"/>
    <mergeCell ref="D152:F152"/>
    <mergeCell ref="A135:M135"/>
    <mergeCell ref="A137:F137"/>
    <mergeCell ref="A138:C138"/>
    <mergeCell ref="D138:F138"/>
    <mergeCell ref="A140:C140"/>
    <mergeCell ref="D140:F140"/>
    <mergeCell ref="A141:C141"/>
    <mergeCell ref="D141:F141"/>
    <mergeCell ref="A139:C139"/>
    <mergeCell ref="D139:F139"/>
  </mergeCells>
  <hyperlinks>
    <hyperlink ref="A1" location="Overview!A1" display="Back to Overview" xr:uid="{00000000-0004-0000-0C00-000000000000}"/>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EHV Properties (including LDNOs with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pageSetUpPr fitToPage="1"/>
  </sheetPr>
  <dimension ref="A1:L12"/>
  <sheetViews>
    <sheetView zoomScale="50" zoomScaleNormal="50" workbookViewId="0"/>
  </sheetViews>
  <sheetFormatPr defaultRowHeight="12.45" x14ac:dyDescent="0.3"/>
  <cols>
    <col min="1" max="1" width="47.69140625" customWidth="1"/>
    <col min="2" max="2" width="17.53515625" customWidth="1"/>
    <col min="4" max="10" width="17.53515625" customWidth="1"/>
  </cols>
  <sheetData>
    <row r="1" spans="1:12" s="1" customFormat="1" ht="27.75" customHeight="1" x14ac:dyDescent="0.3">
      <c r="A1" s="30" t="s">
        <v>19</v>
      </c>
      <c r="B1" s="2"/>
      <c r="C1" s="618" t="s">
        <v>724</v>
      </c>
      <c r="D1" s="619"/>
      <c r="E1" s="619"/>
      <c r="F1" s="619"/>
      <c r="G1" s="619"/>
      <c r="H1" s="619"/>
      <c r="I1" s="620"/>
    </row>
    <row r="2" spans="1:12" s="1" customFormat="1" ht="27" customHeight="1" x14ac:dyDescent="0.3">
      <c r="A2" s="552" t="str">
        <f>Overview!B4&amp; " - Effective from "&amp;Overview!D4&amp;" - "&amp;Overview!E4&amp;" LV and HV tariffs in E &amp; W"</f>
        <v>Indigo Power Limited - Effective from 1 April 2023 - Final LV and HV tariffs in E &amp; W</v>
      </c>
      <c r="B2" s="552"/>
      <c r="C2" s="552"/>
      <c r="D2" s="552"/>
      <c r="E2" s="552"/>
      <c r="F2" s="552"/>
      <c r="G2" s="552"/>
      <c r="H2" s="552"/>
      <c r="I2" s="552"/>
      <c r="J2" s="552"/>
      <c r="K2" s="3"/>
      <c r="L2" s="3"/>
    </row>
    <row r="3" spans="1:12" s="1" customFormat="1" ht="27" customHeight="1" x14ac:dyDescent="0.3">
      <c r="A3" s="645" t="s">
        <v>271</v>
      </c>
      <c r="B3" s="645"/>
      <c r="C3" s="645"/>
      <c r="D3" s="645"/>
      <c r="E3" s="645"/>
      <c r="F3" s="645"/>
      <c r="G3" s="645"/>
      <c r="H3" s="645"/>
      <c r="I3" s="645"/>
      <c r="J3" s="645"/>
      <c r="K3" s="3"/>
      <c r="L3" s="3"/>
    </row>
    <row r="4" spans="1:12" s="1" customFormat="1" ht="71.25" customHeight="1" x14ac:dyDescent="0.3">
      <c r="A4" s="9"/>
      <c r="B4" s="18" t="s">
        <v>0</v>
      </c>
      <c r="C4" s="116" t="s">
        <v>24</v>
      </c>
      <c r="D4" s="116"/>
      <c r="E4" s="116"/>
      <c r="F4" s="116"/>
      <c r="G4" s="116"/>
      <c r="H4" s="116"/>
      <c r="I4" s="116"/>
      <c r="J4" s="116"/>
      <c r="K4" s="3"/>
      <c r="L4" s="3"/>
    </row>
    <row r="5" spans="1:12" s="1" customFormat="1" ht="32.25" customHeight="1" x14ac:dyDescent="0.3">
      <c r="A5" s="10"/>
      <c r="B5" s="24"/>
      <c r="C5" s="179"/>
      <c r="D5" s="180"/>
      <c r="E5" s="180"/>
      <c r="F5" s="180"/>
      <c r="G5" s="16"/>
      <c r="H5" s="16"/>
      <c r="I5" s="16"/>
      <c r="J5" s="16"/>
      <c r="K5" s="3"/>
      <c r="L5" s="3"/>
    </row>
    <row r="6" spans="1:12" ht="20.149999999999999" customHeight="1" x14ac:dyDescent="0.3">
      <c r="A6" s="181" t="s">
        <v>2</v>
      </c>
      <c r="B6" s="646" t="s">
        <v>3</v>
      </c>
      <c r="C6" s="647"/>
      <c r="D6" s="647"/>
      <c r="E6" s="647"/>
      <c r="F6" s="647"/>
      <c r="G6" s="647"/>
      <c r="H6" s="648"/>
      <c r="I6" s="648"/>
      <c r="J6" s="649"/>
    </row>
    <row r="7" spans="1:12" x14ac:dyDescent="0.3">
      <c r="A7" s="29"/>
      <c r="B7" s="29"/>
      <c r="C7" s="29"/>
      <c r="D7" s="29"/>
      <c r="E7" s="29"/>
      <c r="F7" s="29"/>
      <c r="G7" s="29"/>
      <c r="H7" s="29"/>
      <c r="I7" s="29"/>
      <c r="J7" s="29"/>
    </row>
    <row r="8" spans="1:12" x14ac:dyDescent="0.3">
      <c r="A8" s="29"/>
      <c r="B8" s="29"/>
      <c r="C8" s="29"/>
      <c r="D8" s="29"/>
      <c r="E8" s="29"/>
      <c r="F8" s="29"/>
      <c r="G8" s="29"/>
      <c r="H8" s="29"/>
      <c r="I8" s="29"/>
      <c r="J8" s="29"/>
    </row>
    <row r="9" spans="1:12" s="1" customFormat="1" ht="27" customHeight="1" x14ac:dyDescent="0.3">
      <c r="A9" s="645" t="s">
        <v>272</v>
      </c>
      <c r="B9" s="645"/>
      <c r="C9" s="645"/>
      <c r="D9" s="645"/>
      <c r="E9" s="645"/>
      <c r="F9" s="645"/>
      <c r="G9" s="645"/>
      <c r="H9" s="645"/>
      <c r="I9" s="645"/>
      <c r="J9" s="645"/>
      <c r="K9" s="3"/>
      <c r="L9" s="3"/>
    </row>
    <row r="10" spans="1:12" s="1" customFormat="1" ht="58.5" customHeight="1" x14ac:dyDescent="0.3">
      <c r="A10" s="9"/>
      <c r="B10" s="18" t="s">
        <v>0</v>
      </c>
      <c r="C10" s="116" t="s">
        <v>24</v>
      </c>
      <c r="D10" s="18" t="s">
        <v>405</v>
      </c>
      <c r="E10" s="18" t="s">
        <v>406</v>
      </c>
      <c r="F10" s="18" t="s">
        <v>407</v>
      </c>
      <c r="G10" s="116" t="s">
        <v>25</v>
      </c>
      <c r="H10" s="116" t="s">
        <v>26</v>
      </c>
      <c r="I10" s="18" t="s">
        <v>456</v>
      </c>
      <c r="J10" s="116" t="s">
        <v>270</v>
      </c>
      <c r="K10" s="3"/>
      <c r="L10" s="3"/>
    </row>
    <row r="11" spans="1:12" s="1" customFormat="1" ht="32.25" customHeight="1" x14ac:dyDescent="0.3">
      <c r="A11" s="10"/>
      <c r="B11" s="17"/>
      <c r="C11" s="11"/>
      <c r="D11" s="106"/>
      <c r="E11" s="107"/>
      <c r="F11" s="108"/>
      <c r="G11" s="28"/>
      <c r="H11" s="28"/>
      <c r="I11" s="85"/>
      <c r="J11" s="25"/>
      <c r="K11"/>
      <c r="L11" s="3"/>
    </row>
    <row r="12" spans="1:12" x14ac:dyDescent="0.3">
      <c r="A12" s="117" t="s">
        <v>2</v>
      </c>
      <c r="B12" s="643"/>
      <c r="C12" s="643"/>
      <c r="D12" s="643"/>
      <c r="E12" s="643"/>
      <c r="F12" s="643"/>
      <c r="G12" s="643"/>
      <c r="H12" s="644"/>
      <c r="I12" s="644"/>
      <c r="J12" s="644"/>
    </row>
  </sheetData>
  <mergeCells count="6">
    <mergeCell ref="B12:J12"/>
    <mergeCell ref="C1:I1"/>
    <mergeCell ref="A2:J2"/>
    <mergeCell ref="A3:J3"/>
    <mergeCell ref="B6:J6"/>
    <mergeCell ref="A9:J9"/>
  </mergeCells>
  <hyperlinks>
    <hyperlink ref="A1" location="Overview!A1" display="Back to Overview" xr:uid="{00000000-0004-0000-0D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N201"/>
  <sheetViews>
    <sheetView topLeftCell="A4" zoomScale="50" zoomScaleNormal="50" workbookViewId="0">
      <selection activeCell="A10" sqref="A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0" t="s">
        <v>19</v>
      </c>
      <c r="B1" s="1"/>
      <c r="F1" s="1"/>
      <c r="G1" s="1"/>
      <c r="H1" s="1"/>
      <c r="I1" s="3"/>
      <c r="J1" s="1"/>
      <c r="K1" s="1"/>
    </row>
    <row r="2" spans="1:14" ht="40" customHeight="1" x14ac:dyDescent="0.3">
      <c r="A2" s="612" t="str">
        <f>Overview!B4&amp;" - Effective from "&amp;Overview!D4&amp;" - Final LDNO tariffs in UKPN EPN Area (GSP Group_A)"</f>
        <v>Indigo Power Limited - Effective from 1 April 2023 - Final LDNO tariffs in UKPN EPN Area (GSP Group_A)</v>
      </c>
      <c r="B2" s="612"/>
      <c r="C2" s="612"/>
      <c r="D2" s="612"/>
      <c r="E2" s="612"/>
      <c r="F2" s="612"/>
      <c r="G2" s="612"/>
      <c r="H2" s="612"/>
      <c r="I2" s="612"/>
      <c r="J2" s="612"/>
    </row>
    <row r="3" spans="1:14" ht="40" customHeight="1" x14ac:dyDescent="0.3">
      <c r="A3" s="48"/>
      <c r="B3" s="48"/>
      <c r="C3" s="48"/>
      <c r="D3" s="48"/>
      <c r="E3" s="48"/>
      <c r="F3" s="48"/>
      <c r="G3" s="48"/>
      <c r="H3" s="48"/>
      <c r="I3" s="48"/>
      <c r="J3" s="48"/>
    </row>
    <row r="4" spans="1:14" ht="40" customHeight="1" x14ac:dyDescent="0.3">
      <c r="A4" s="553" t="s">
        <v>308</v>
      </c>
      <c r="B4" s="554"/>
      <c r="C4" s="554"/>
      <c r="D4" s="555"/>
      <c r="E4" s="52"/>
      <c r="F4" s="553" t="s">
        <v>307</v>
      </c>
      <c r="G4" s="554"/>
      <c r="H4" s="554"/>
      <c r="I4" s="554"/>
      <c r="J4" s="555"/>
      <c r="L4" s="3"/>
    </row>
    <row r="5" spans="1:14" ht="40" customHeight="1" x14ac:dyDescent="0.3">
      <c r="A5" s="468" t="s">
        <v>13</v>
      </c>
      <c r="B5" s="270" t="s">
        <v>299</v>
      </c>
      <c r="C5" s="182" t="s">
        <v>300</v>
      </c>
      <c r="D5" s="42" t="s">
        <v>301</v>
      </c>
      <c r="E5" s="45"/>
      <c r="F5" s="549"/>
      <c r="G5" s="550"/>
      <c r="H5" s="43" t="s">
        <v>305</v>
      </c>
      <c r="I5" s="44" t="s">
        <v>306</v>
      </c>
      <c r="J5" s="42" t="s">
        <v>301</v>
      </c>
      <c r="K5" s="45"/>
      <c r="L5" s="3"/>
      <c r="M5" s="3"/>
    </row>
    <row r="6" spans="1:14" ht="40" customHeight="1" x14ac:dyDescent="0.3">
      <c r="A6" s="105" t="str">
        <f>'Annex 1 LV and HV charges_A'!A6</f>
        <v>Monday to Friday 
(Including Bank Holidays)
All Year</v>
      </c>
      <c r="B6" s="261" t="str">
        <f>'Annex 1 LV and HV charges_A'!B6</f>
        <v>16:00 - 19:00</v>
      </c>
      <c r="C6" s="261" t="str">
        <f>'Annex 1 LV and HV charges_A'!C6</f>
        <v>07:00 - 16:00
19:00 - 23:00</v>
      </c>
      <c r="D6" s="86" t="str">
        <f>'Annex 1 LV and HV charges_A'!E6</f>
        <v>00:00 - 07:00
23:00 - 24:00</v>
      </c>
      <c r="E6" s="45"/>
      <c r="F6" s="537" t="str">
        <f>'Annex 1 LV and HV charges_A'!G6</f>
        <v>Monday to Friday 
(Including Bank Holidays)
November to February Inclusive</v>
      </c>
      <c r="G6" s="538" t="str">
        <f>'Annex 1 LV and HV charges_A'!H6</f>
        <v/>
      </c>
      <c r="H6" s="261" t="str">
        <f>'Annex 1 LV and HV charges_A'!I6</f>
        <v>16:00 - 19:00</v>
      </c>
      <c r="I6" s="269" t="str">
        <f>'Annex 1 LV and HV charges_A'!J6</f>
        <v>07:00 - 16:00
19:00 - 23:00</v>
      </c>
      <c r="J6" s="86" t="str">
        <f>'Annex 1 LV and HV charges_A'!K6</f>
        <v>00:00 - 07:00
23:00 - 24:00</v>
      </c>
      <c r="K6" s="45"/>
      <c r="L6" s="3"/>
      <c r="M6" s="3"/>
    </row>
    <row r="7" spans="1:14" ht="40" customHeight="1" x14ac:dyDescent="0.3">
      <c r="A7" s="105" t="str">
        <f>'Annex 1 LV and HV charges_A'!A7</f>
        <v>Saturday and Sunday
All Year</v>
      </c>
      <c r="B7" s="263" t="str">
        <f>'Annex 1 LV and HV charges_A'!B7</f>
        <v xml:space="preserve"> </v>
      </c>
      <c r="C7" s="183" t="str">
        <f>'Annex 1 LV and HV charges_A'!C7</f>
        <v xml:space="preserve"> </v>
      </c>
      <c r="D7" s="269" t="str">
        <f>'Annex 1 LV and HV charges_A'!E7</f>
        <v>00:00 - 24:00</v>
      </c>
      <c r="E7" s="45"/>
      <c r="F7" s="537" t="str">
        <f>'Annex 1 LV and HV charges_A'!G7</f>
        <v>Monday to Friday 
(Including Bank Holidays)
March to October Inclusive</v>
      </c>
      <c r="G7" s="538" t="str">
        <f>'Annex 1 LV and HV charges_A'!H7</f>
        <v/>
      </c>
      <c r="H7" s="263" t="str">
        <f>'Annex 1 LV and HV charges_A'!I7</f>
        <v/>
      </c>
      <c r="I7" s="269" t="str">
        <f>'Annex 1 LV and HV charges_A'!J7</f>
        <v>07:00 - 23:00</v>
      </c>
      <c r="J7" s="86" t="str">
        <f>'Annex 1 LV and HV charges_A'!K7</f>
        <v>00:00 - 07:00
23:00 - 24:00</v>
      </c>
      <c r="K7" s="45"/>
      <c r="L7" s="3"/>
      <c r="M7" s="3"/>
    </row>
    <row r="8" spans="1:14" ht="40" customHeight="1" x14ac:dyDescent="0.3">
      <c r="A8" s="465" t="str">
        <f>'Annex 1 LV and HV charges_A'!A8</f>
        <v>Notes</v>
      </c>
      <c r="B8" s="537" t="str">
        <f>'Annex 1 LV and HV charges_A'!B8</f>
        <v>All the above times are in UK Clock time</v>
      </c>
      <c r="C8" s="546" t="str">
        <f>'Annex 1 LV and HV charges_A'!C8</f>
        <v/>
      </c>
      <c r="D8" s="538" t="str">
        <f>'Annex 1 LV and HV charges_A'!D8</f>
        <v/>
      </c>
      <c r="E8" s="45"/>
      <c r="F8" s="537" t="str">
        <f>'Annex 1 LV and HV charges_A'!G8</f>
        <v>Saturday and Sunday
All Year</v>
      </c>
      <c r="G8" s="538" t="str">
        <f>'Annex 1 LV and HV charges_A'!H8</f>
        <v/>
      </c>
      <c r="H8" s="263" t="str">
        <f>'Annex 1 LV and HV charges_A'!I8</f>
        <v/>
      </c>
      <c r="I8" s="263" t="str">
        <f>'Annex 1 LV and HV charges_A'!J8</f>
        <v/>
      </c>
      <c r="J8" s="269" t="str">
        <f>'Annex 1 LV and HV charges_A'!K8</f>
        <v>00:00 - 24:00</v>
      </c>
      <c r="K8" s="45"/>
      <c r="L8" s="3"/>
      <c r="M8" s="3"/>
    </row>
    <row r="9" spans="1:14" s="47" customFormat="1" ht="40" customHeight="1" x14ac:dyDescent="0.3">
      <c r="B9" s="45"/>
      <c r="C9" s="45"/>
      <c r="D9" s="45"/>
      <c r="E9" s="49"/>
      <c r="F9" s="537" t="str">
        <f>'Annex 1 LV and HV charges_A'!G9</f>
        <v>Notes</v>
      </c>
      <c r="G9" s="538" t="str">
        <f>'Annex 1 LV and HV charges_A'!H9</f>
        <v/>
      </c>
      <c r="H9" s="537" t="str">
        <f>'Annex 1 LV and HV charges_A'!I9</f>
        <v>All times are in UK Clock time</v>
      </c>
      <c r="I9" s="546" t="str">
        <f>'Annex 1 LV and HV charges_A'!J9</f>
        <v/>
      </c>
      <c r="J9" s="538" t="str">
        <f>'Annex 1 LV and HV charges_A'!K9</f>
        <v/>
      </c>
      <c r="K9" s="46"/>
      <c r="L9" s="46"/>
      <c r="N9" s="1"/>
    </row>
    <row r="10" spans="1:14" s="47" customFormat="1" ht="40" customHeight="1" x14ac:dyDescent="0.3">
      <c r="A10" s="47" t="s">
        <v>480</v>
      </c>
      <c r="B10" s="45"/>
      <c r="C10" s="45"/>
      <c r="D10" s="45" t="s">
        <v>480</v>
      </c>
      <c r="E10" s="45"/>
      <c r="F10" s="403"/>
      <c r="G10" s="403"/>
      <c r="H10" s="404"/>
      <c r="I10" s="404"/>
      <c r="J10" s="404"/>
      <c r="K10" s="46"/>
      <c r="L10" s="46"/>
    </row>
    <row r="11" spans="1:14" ht="75" customHeight="1" x14ac:dyDescent="0.3">
      <c r="A11" s="18" t="s">
        <v>455</v>
      </c>
      <c r="B11" s="18" t="s">
        <v>31</v>
      </c>
      <c r="C11" s="429" t="s">
        <v>24</v>
      </c>
      <c r="D11" s="374" t="s">
        <v>579</v>
      </c>
      <c r="E11" s="374" t="s">
        <v>580</v>
      </c>
      <c r="F11" s="374" t="s">
        <v>581</v>
      </c>
      <c r="G11" s="429" t="s">
        <v>25</v>
      </c>
      <c r="H11" s="429" t="s">
        <v>26</v>
      </c>
      <c r="I11" s="429" t="s">
        <v>456</v>
      </c>
      <c r="J11" s="429" t="s">
        <v>270</v>
      </c>
      <c r="K11" s="1"/>
      <c r="L11" s="46"/>
    </row>
    <row r="12" spans="1:14" ht="35.049999999999997" customHeight="1" x14ac:dyDescent="0.3">
      <c r="A12" s="398" t="s">
        <v>786</v>
      </c>
      <c r="B12" s="24" t="s">
        <v>1297</v>
      </c>
      <c r="C12" s="507" t="s">
        <v>639</v>
      </c>
      <c r="D12" s="501">
        <v>9.5730000000000004</v>
      </c>
      <c r="E12" s="502">
        <v>0.628</v>
      </c>
      <c r="F12" s="503">
        <v>0.14299999999999999</v>
      </c>
      <c r="G12" s="508">
        <v>3.61</v>
      </c>
      <c r="H12" s="509"/>
      <c r="I12" s="510"/>
      <c r="J12" s="500"/>
      <c r="K12" s="1"/>
      <c r="L12" s="46"/>
    </row>
    <row r="13" spans="1:14" ht="35.049999999999997" customHeight="1" x14ac:dyDescent="0.3">
      <c r="A13" s="398" t="s">
        <v>787</v>
      </c>
      <c r="B13" s="24" t="s">
        <v>1302</v>
      </c>
      <c r="C13" s="507" t="s">
        <v>575</v>
      </c>
      <c r="D13" s="501">
        <v>9.5730000000000004</v>
      </c>
      <c r="E13" s="502">
        <v>0.628</v>
      </c>
      <c r="F13" s="503">
        <v>0.14299999999999999</v>
      </c>
      <c r="G13" s="509"/>
      <c r="H13" s="509"/>
      <c r="I13" s="510"/>
      <c r="J13" s="500"/>
      <c r="K13" s="1"/>
      <c r="L13" s="46"/>
    </row>
    <row r="14" spans="1:14" ht="35.049999999999997" customHeight="1" x14ac:dyDescent="0.3">
      <c r="A14" s="398" t="s">
        <v>788</v>
      </c>
      <c r="B14" s="24" t="s">
        <v>1307</v>
      </c>
      <c r="C14" s="507" t="s">
        <v>640</v>
      </c>
      <c r="D14" s="501">
        <v>9.1679999999999993</v>
      </c>
      <c r="E14" s="502">
        <v>0.60099999999999998</v>
      </c>
      <c r="F14" s="503">
        <v>0.13700000000000001</v>
      </c>
      <c r="G14" s="508">
        <v>3.05</v>
      </c>
      <c r="H14" s="509"/>
      <c r="I14" s="510"/>
      <c r="J14" s="500"/>
      <c r="K14" s="1"/>
      <c r="L14" s="46"/>
    </row>
    <row r="15" spans="1:14" ht="35.049999999999997" customHeight="1" x14ac:dyDescent="0.3">
      <c r="A15" s="398" t="s">
        <v>789</v>
      </c>
      <c r="B15" s="24" t="s">
        <v>1303</v>
      </c>
      <c r="C15" s="507" t="s">
        <v>640</v>
      </c>
      <c r="D15" s="501">
        <v>9.1679999999999993</v>
      </c>
      <c r="E15" s="502">
        <v>0.60099999999999998</v>
      </c>
      <c r="F15" s="503">
        <v>0.13700000000000001</v>
      </c>
      <c r="G15" s="508">
        <v>3.25</v>
      </c>
      <c r="H15" s="509"/>
      <c r="I15" s="510"/>
      <c r="J15" s="500"/>
      <c r="K15" s="1"/>
      <c r="L15" s="46"/>
    </row>
    <row r="16" spans="1:14" ht="35.049999999999997" customHeight="1" x14ac:dyDescent="0.3">
      <c r="A16" s="398" t="s">
        <v>790</v>
      </c>
      <c r="B16" s="24" t="s">
        <v>1304</v>
      </c>
      <c r="C16" s="507" t="s">
        <v>640</v>
      </c>
      <c r="D16" s="501">
        <v>9.1679999999999993</v>
      </c>
      <c r="E16" s="502">
        <v>0.60099999999999998</v>
      </c>
      <c r="F16" s="503">
        <v>0.13700000000000001</v>
      </c>
      <c r="G16" s="508">
        <v>4.16</v>
      </c>
      <c r="H16" s="509"/>
      <c r="I16" s="510"/>
      <c r="J16" s="500"/>
      <c r="K16" s="1"/>
      <c r="L16" s="46"/>
    </row>
    <row r="17" spans="1:13" ht="35.049999999999997" customHeight="1" x14ac:dyDescent="0.3">
      <c r="A17" s="398" t="s">
        <v>791</v>
      </c>
      <c r="B17" s="24" t="s">
        <v>1305</v>
      </c>
      <c r="C17" s="507" t="s">
        <v>640</v>
      </c>
      <c r="D17" s="501">
        <v>9.1679999999999993</v>
      </c>
      <c r="E17" s="502">
        <v>0.60099999999999998</v>
      </c>
      <c r="F17" s="503">
        <v>0.13700000000000001</v>
      </c>
      <c r="G17" s="508">
        <v>5.82</v>
      </c>
      <c r="H17" s="509"/>
      <c r="I17" s="510"/>
      <c r="J17" s="500"/>
      <c r="K17" s="1"/>
    </row>
    <row r="18" spans="1:13" ht="35.049999999999997" customHeight="1" x14ac:dyDescent="0.3">
      <c r="A18" s="398" t="s">
        <v>792</v>
      </c>
      <c r="B18" s="24" t="s">
        <v>1306</v>
      </c>
      <c r="C18" s="507" t="s">
        <v>640</v>
      </c>
      <c r="D18" s="501">
        <v>9.1679999999999993</v>
      </c>
      <c r="E18" s="502">
        <v>0.60099999999999998</v>
      </c>
      <c r="F18" s="503">
        <v>0.13700000000000001</v>
      </c>
      <c r="G18" s="508">
        <v>11.6</v>
      </c>
      <c r="H18" s="509"/>
      <c r="I18" s="510"/>
      <c r="J18" s="500"/>
      <c r="K18" s="1"/>
      <c r="M18" s="46"/>
    </row>
    <row r="19" spans="1:13" ht="35.049999999999997" customHeight="1" x14ac:dyDescent="0.3">
      <c r="A19" s="398" t="s">
        <v>582</v>
      </c>
      <c r="B19" s="24" t="s">
        <v>1309</v>
      </c>
      <c r="C19" s="507" t="s">
        <v>577</v>
      </c>
      <c r="D19" s="501">
        <v>9.1679999999999993</v>
      </c>
      <c r="E19" s="502">
        <v>0.60099999999999998</v>
      </c>
      <c r="F19" s="503">
        <v>0.13700000000000001</v>
      </c>
      <c r="G19" s="509"/>
      <c r="H19" s="509"/>
      <c r="I19" s="510"/>
      <c r="J19" s="500"/>
      <c r="K19" s="1"/>
    </row>
    <row r="20" spans="1:13" ht="35.049999999999997" customHeight="1" x14ac:dyDescent="0.3">
      <c r="A20" s="398" t="s">
        <v>793</v>
      </c>
      <c r="B20" s="24" t="s">
        <v>1308</v>
      </c>
      <c r="C20" s="507">
        <v>0</v>
      </c>
      <c r="D20" s="501">
        <v>6.4420000000000002</v>
      </c>
      <c r="E20" s="502">
        <v>0.40300000000000002</v>
      </c>
      <c r="F20" s="503">
        <v>9.1999999999999998E-2</v>
      </c>
      <c r="G20" s="508">
        <v>8.91</v>
      </c>
      <c r="H20" s="508">
        <v>2.37</v>
      </c>
      <c r="I20" s="511">
        <v>5</v>
      </c>
      <c r="J20" s="499">
        <v>0.248</v>
      </c>
      <c r="K20" s="1"/>
    </row>
    <row r="21" spans="1:13" ht="35.049999999999997" customHeight="1" x14ac:dyDescent="0.3">
      <c r="A21" s="398" t="s">
        <v>794</v>
      </c>
      <c r="B21" s="24" t="s">
        <v>1310</v>
      </c>
      <c r="C21" s="507">
        <v>0</v>
      </c>
      <c r="D21" s="501">
        <v>6.4420000000000002</v>
      </c>
      <c r="E21" s="502">
        <v>0.40300000000000002</v>
      </c>
      <c r="F21" s="503">
        <v>9.1999999999999998E-2</v>
      </c>
      <c r="G21" s="508">
        <v>22.15</v>
      </c>
      <c r="H21" s="508">
        <v>2.37</v>
      </c>
      <c r="I21" s="511">
        <v>5</v>
      </c>
      <c r="J21" s="499">
        <v>0.248</v>
      </c>
      <c r="K21" s="1"/>
    </row>
    <row r="22" spans="1:13" ht="35.049999999999997" customHeight="1" x14ac:dyDescent="0.3">
      <c r="A22" s="398" t="s">
        <v>795</v>
      </c>
      <c r="B22" s="24" t="s">
        <v>1311</v>
      </c>
      <c r="C22" s="507">
        <v>0</v>
      </c>
      <c r="D22" s="501">
        <v>6.4420000000000002</v>
      </c>
      <c r="E22" s="502">
        <v>0.40300000000000002</v>
      </c>
      <c r="F22" s="503">
        <v>9.1999999999999998E-2</v>
      </c>
      <c r="G22" s="508">
        <v>28.72</v>
      </c>
      <c r="H22" s="508">
        <v>2.37</v>
      </c>
      <c r="I22" s="511">
        <v>5</v>
      </c>
      <c r="J22" s="499">
        <v>0.248</v>
      </c>
      <c r="K22" s="1"/>
    </row>
    <row r="23" spans="1:13" ht="35.049999999999997" customHeight="1" x14ac:dyDescent="0.3">
      <c r="A23" s="398" t="s">
        <v>796</v>
      </c>
      <c r="B23" s="24" t="s">
        <v>1312</v>
      </c>
      <c r="C23" s="507">
        <v>0</v>
      </c>
      <c r="D23" s="501">
        <v>6.4420000000000002</v>
      </c>
      <c r="E23" s="502">
        <v>0.40300000000000002</v>
      </c>
      <c r="F23" s="503">
        <v>9.1999999999999998E-2</v>
      </c>
      <c r="G23" s="508">
        <v>42.64</v>
      </c>
      <c r="H23" s="508">
        <v>2.37</v>
      </c>
      <c r="I23" s="511">
        <v>5</v>
      </c>
      <c r="J23" s="499">
        <v>0.248</v>
      </c>
      <c r="K23" s="1"/>
    </row>
    <row r="24" spans="1:13" ht="35.049999999999997" customHeight="1" x14ac:dyDescent="0.3">
      <c r="A24" s="398" t="s">
        <v>797</v>
      </c>
      <c r="B24" s="24" t="s">
        <v>1313</v>
      </c>
      <c r="C24" s="507">
        <v>0</v>
      </c>
      <c r="D24" s="501">
        <v>6.4420000000000002</v>
      </c>
      <c r="E24" s="502">
        <v>0.40300000000000002</v>
      </c>
      <c r="F24" s="503">
        <v>9.1999999999999998E-2</v>
      </c>
      <c r="G24" s="508">
        <v>81.3</v>
      </c>
      <c r="H24" s="508">
        <v>2.37</v>
      </c>
      <c r="I24" s="511">
        <v>5</v>
      </c>
      <c r="J24" s="499">
        <v>0.248</v>
      </c>
      <c r="K24" s="1"/>
    </row>
    <row r="25" spans="1:13" ht="35.049999999999997" customHeight="1" x14ac:dyDescent="0.3">
      <c r="A25" s="398" t="s">
        <v>583</v>
      </c>
      <c r="B25" s="24" t="s">
        <v>1314</v>
      </c>
      <c r="C25" s="512" t="s">
        <v>616</v>
      </c>
      <c r="D25" s="504">
        <v>23.983000000000001</v>
      </c>
      <c r="E25" s="505">
        <v>1.0609999999999999</v>
      </c>
      <c r="F25" s="503">
        <v>0.70699999999999996</v>
      </c>
      <c r="G25" s="509"/>
      <c r="H25" s="509"/>
      <c r="I25" s="510"/>
      <c r="J25" s="500"/>
      <c r="K25" s="1"/>
    </row>
    <row r="26" spans="1:13" ht="35.049999999999997" customHeight="1" x14ac:dyDescent="0.3">
      <c r="A26" s="398" t="s">
        <v>686</v>
      </c>
      <c r="B26" s="24" t="s">
        <v>1315</v>
      </c>
      <c r="C26" s="512">
        <v>0</v>
      </c>
      <c r="D26" s="501">
        <v>-8.5350000000000001</v>
      </c>
      <c r="E26" s="502">
        <v>-0.56000000000000005</v>
      </c>
      <c r="F26" s="503">
        <v>-0.127</v>
      </c>
      <c r="G26" s="508">
        <v>0</v>
      </c>
      <c r="H26" s="509"/>
      <c r="I26" s="510"/>
      <c r="J26" s="500"/>
      <c r="K26" s="1"/>
    </row>
    <row r="27" spans="1:13" ht="35.049999999999997" customHeight="1" x14ac:dyDescent="0.3">
      <c r="A27" s="398" t="s">
        <v>687</v>
      </c>
      <c r="B27" s="24" t="s">
        <v>1316</v>
      </c>
      <c r="C27" s="512">
        <v>0</v>
      </c>
      <c r="D27" s="501">
        <v>-8.5350000000000001</v>
      </c>
      <c r="E27" s="502">
        <v>-0.56000000000000005</v>
      </c>
      <c r="F27" s="503">
        <v>-0.127</v>
      </c>
      <c r="G27" s="508">
        <v>0</v>
      </c>
      <c r="H27" s="509"/>
      <c r="I27" s="510"/>
      <c r="J27" s="499">
        <v>0.307</v>
      </c>
      <c r="K27" s="1"/>
    </row>
    <row r="28" spans="1:13" ht="35.049999999999997" customHeight="1" x14ac:dyDescent="0.3">
      <c r="A28" s="401" t="s">
        <v>798</v>
      </c>
      <c r="B28" s="24" t="s">
        <v>1299</v>
      </c>
      <c r="C28" s="512" t="s">
        <v>639</v>
      </c>
      <c r="D28" s="501">
        <v>7.5030000000000001</v>
      </c>
      <c r="E28" s="502">
        <v>0.49199999999999999</v>
      </c>
      <c r="F28" s="503">
        <v>0.112</v>
      </c>
      <c r="G28" s="508">
        <v>2.88</v>
      </c>
      <c r="H28" s="509"/>
      <c r="I28" s="510"/>
      <c r="J28" s="500"/>
      <c r="K28" s="24" t="s">
        <v>480</v>
      </c>
    </row>
    <row r="29" spans="1:13" ht="35.049999999999997" customHeight="1" x14ac:dyDescent="0.3">
      <c r="A29" s="401" t="s">
        <v>799</v>
      </c>
      <c r="B29" s="24" t="s">
        <v>1317</v>
      </c>
      <c r="C29" s="512" t="s">
        <v>575</v>
      </c>
      <c r="D29" s="501">
        <v>7.5030000000000001</v>
      </c>
      <c r="E29" s="502">
        <v>0.49199999999999999</v>
      </c>
      <c r="F29" s="503">
        <v>0.112</v>
      </c>
      <c r="G29" s="509"/>
      <c r="H29" s="509"/>
      <c r="I29" s="510"/>
      <c r="J29" s="500"/>
      <c r="K29" s="24" t="s">
        <v>480</v>
      </c>
    </row>
    <row r="30" spans="1:13" ht="35.049999999999997" customHeight="1" x14ac:dyDescent="0.3">
      <c r="A30" s="401" t="s">
        <v>800</v>
      </c>
      <c r="B30" s="24" t="s">
        <v>1323</v>
      </c>
      <c r="C30" s="512" t="s">
        <v>640</v>
      </c>
      <c r="D30" s="501">
        <v>7.1849999999999996</v>
      </c>
      <c r="E30" s="502">
        <v>0.47099999999999997</v>
      </c>
      <c r="F30" s="503">
        <v>0.107</v>
      </c>
      <c r="G30" s="508">
        <v>2.42</v>
      </c>
      <c r="H30" s="509"/>
      <c r="I30" s="510"/>
      <c r="J30" s="500"/>
      <c r="K30" s="24" t="s">
        <v>480</v>
      </c>
    </row>
    <row r="31" spans="1:13" ht="35.049999999999997" customHeight="1" x14ac:dyDescent="0.3">
      <c r="A31" s="401" t="s">
        <v>801</v>
      </c>
      <c r="B31" s="24" t="s">
        <v>1298</v>
      </c>
      <c r="C31" s="512" t="s">
        <v>640</v>
      </c>
      <c r="D31" s="501">
        <v>7.1849999999999996</v>
      </c>
      <c r="E31" s="502">
        <v>0.47099999999999997</v>
      </c>
      <c r="F31" s="503">
        <v>0.107</v>
      </c>
      <c r="G31" s="508">
        <v>2.58</v>
      </c>
      <c r="H31" s="509"/>
      <c r="I31" s="510"/>
      <c r="J31" s="500"/>
      <c r="K31" s="24" t="s">
        <v>480</v>
      </c>
    </row>
    <row r="32" spans="1:13" ht="35.049999999999997" customHeight="1" x14ac:dyDescent="0.3">
      <c r="A32" s="401" t="s">
        <v>802</v>
      </c>
      <c r="B32" s="24" t="s">
        <v>1320</v>
      </c>
      <c r="C32" s="512" t="s">
        <v>640</v>
      </c>
      <c r="D32" s="501">
        <v>7.1849999999999996</v>
      </c>
      <c r="E32" s="502">
        <v>0.47099999999999997</v>
      </c>
      <c r="F32" s="503">
        <v>0.107</v>
      </c>
      <c r="G32" s="508">
        <v>3.29</v>
      </c>
      <c r="H32" s="509"/>
      <c r="I32" s="510"/>
      <c r="J32" s="500"/>
      <c r="K32" s="24" t="s">
        <v>480</v>
      </c>
    </row>
    <row r="33" spans="1:11" ht="35.049999999999997" customHeight="1" x14ac:dyDescent="0.3">
      <c r="A33" s="401" t="s">
        <v>803</v>
      </c>
      <c r="B33" s="24" t="s">
        <v>1321</v>
      </c>
      <c r="C33" s="512" t="s">
        <v>640</v>
      </c>
      <c r="D33" s="501">
        <v>7.1849999999999996</v>
      </c>
      <c r="E33" s="502">
        <v>0.47099999999999997</v>
      </c>
      <c r="F33" s="503">
        <v>0.107</v>
      </c>
      <c r="G33" s="508">
        <v>4.59</v>
      </c>
      <c r="H33" s="509"/>
      <c r="I33" s="510"/>
      <c r="J33" s="500"/>
      <c r="K33" s="24" t="s">
        <v>480</v>
      </c>
    </row>
    <row r="34" spans="1:11" ht="35.049999999999997" customHeight="1" x14ac:dyDescent="0.3">
      <c r="A34" s="401" t="s">
        <v>804</v>
      </c>
      <c r="B34" s="24" t="s">
        <v>1322</v>
      </c>
      <c r="C34" s="512" t="s">
        <v>640</v>
      </c>
      <c r="D34" s="501">
        <v>7.1849999999999996</v>
      </c>
      <c r="E34" s="502">
        <v>0.47099999999999997</v>
      </c>
      <c r="F34" s="503">
        <v>0.107</v>
      </c>
      <c r="G34" s="508">
        <v>9.1199999999999992</v>
      </c>
      <c r="H34" s="509"/>
      <c r="I34" s="510"/>
      <c r="J34" s="500"/>
      <c r="K34" s="24" t="s">
        <v>480</v>
      </c>
    </row>
    <row r="35" spans="1:11" ht="35.049999999999997" customHeight="1" x14ac:dyDescent="0.3">
      <c r="A35" s="401" t="s">
        <v>584</v>
      </c>
      <c r="B35" s="24" t="s">
        <v>1324</v>
      </c>
      <c r="C35" s="512" t="s">
        <v>577</v>
      </c>
      <c r="D35" s="501">
        <v>7.1849999999999996</v>
      </c>
      <c r="E35" s="502">
        <v>0.47099999999999997</v>
      </c>
      <c r="F35" s="503">
        <v>0.107</v>
      </c>
      <c r="G35" s="509"/>
      <c r="H35" s="509"/>
      <c r="I35" s="510"/>
      <c r="J35" s="500"/>
      <c r="K35" s="24" t="s">
        <v>480</v>
      </c>
    </row>
    <row r="36" spans="1:11" ht="35.049999999999997" customHeight="1" x14ac:dyDescent="0.3">
      <c r="A36" s="401" t="s">
        <v>805</v>
      </c>
      <c r="B36" s="24" t="s">
        <v>1325</v>
      </c>
      <c r="C36" s="512">
        <v>0</v>
      </c>
      <c r="D36" s="501">
        <v>5.0490000000000004</v>
      </c>
      <c r="E36" s="502">
        <v>0.316</v>
      </c>
      <c r="F36" s="503">
        <v>7.1999999999999995E-2</v>
      </c>
      <c r="G36" s="508">
        <v>7.01</v>
      </c>
      <c r="H36" s="508">
        <v>1.86</v>
      </c>
      <c r="I36" s="511">
        <v>3.92</v>
      </c>
      <c r="J36" s="499">
        <v>0.19500000000000001</v>
      </c>
      <c r="K36" s="24" t="s">
        <v>480</v>
      </c>
    </row>
    <row r="37" spans="1:11" ht="35.049999999999997" customHeight="1" x14ac:dyDescent="0.3">
      <c r="A37" s="401" t="s">
        <v>806</v>
      </c>
      <c r="B37" s="24" t="s">
        <v>1300</v>
      </c>
      <c r="C37" s="512">
        <v>0</v>
      </c>
      <c r="D37" s="501">
        <v>5.0490000000000004</v>
      </c>
      <c r="E37" s="502">
        <v>0.316</v>
      </c>
      <c r="F37" s="503">
        <v>7.1999999999999995E-2</v>
      </c>
      <c r="G37" s="508">
        <v>17.39</v>
      </c>
      <c r="H37" s="508">
        <v>1.86</v>
      </c>
      <c r="I37" s="511">
        <v>3.92</v>
      </c>
      <c r="J37" s="499">
        <v>0.19500000000000001</v>
      </c>
      <c r="K37" s="24" t="s">
        <v>480</v>
      </c>
    </row>
    <row r="38" spans="1:11" ht="35.049999999999997" customHeight="1" x14ac:dyDescent="0.3">
      <c r="A38" s="401" t="s">
        <v>807</v>
      </c>
      <c r="B38" s="24" t="s">
        <v>1326</v>
      </c>
      <c r="C38" s="512">
        <v>0</v>
      </c>
      <c r="D38" s="501">
        <v>5.0490000000000004</v>
      </c>
      <c r="E38" s="502">
        <v>0.316</v>
      </c>
      <c r="F38" s="503">
        <v>7.1999999999999995E-2</v>
      </c>
      <c r="G38" s="508">
        <v>22.54</v>
      </c>
      <c r="H38" s="508">
        <v>1.86</v>
      </c>
      <c r="I38" s="511">
        <v>3.92</v>
      </c>
      <c r="J38" s="499">
        <v>0.19500000000000001</v>
      </c>
      <c r="K38" s="24" t="s">
        <v>480</v>
      </c>
    </row>
    <row r="39" spans="1:11" ht="35.049999999999997" customHeight="1" x14ac:dyDescent="0.3">
      <c r="A39" s="401" t="s">
        <v>808</v>
      </c>
      <c r="B39" s="24" t="s">
        <v>1327</v>
      </c>
      <c r="C39" s="512">
        <v>0</v>
      </c>
      <c r="D39" s="501">
        <v>5.0490000000000004</v>
      </c>
      <c r="E39" s="502">
        <v>0.316</v>
      </c>
      <c r="F39" s="503">
        <v>7.1999999999999995E-2</v>
      </c>
      <c r="G39" s="508">
        <v>33.450000000000003</v>
      </c>
      <c r="H39" s="508">
        <v>1.86</v>
      </c>
      <c r="I39" s="511">
        <v>3.92</v>
      </c>
      <c r="J39" s="499">
        <v>0.19500000000000001</v>
      </c>
      <c r="K39" s="24" t="s">
        <v>480</v>
      </c>
    </row>
    <row r="40" spans="1:11" ht="35.049999999999997" customHeight="1" x14ac:dyDescent="0.3">
      <c r="A40" s="401" t="s">
        <v>809</v>
      </c>
      <c r="B40" s="24" t="s">
        <v>1328</v>
      </c>
      <c r="C40" s="512">
        <v>0</v>
      </c>
      <c r="D40" s="501">
        <v>5.0490000000000004</v>
      </c>
      <c r="E40" s="502">
        <v>0.316</v>
      </c>
      <c r="F40" s="503">
        <v>7.1999999999999995E-2</v>
      </c>
      <c r="G40" s="508">
        <v>63.75</v>
      </c>
      <c r="H40" s="508">
        <v>1.86</v>
      </c>
      <c r="I40" s="511">
        <v>3.92</v>
      </c>
      <c r="J40" s="499">
        <v>0.19500000000000001</v>
      </c>
      <c r="K40" s="24" t="s">
        <v>480</v>
      </c>
    </row>
    <row r="41" spans="1:11" ht="35.049999999999997" customHeight="1" x14ac:dyDescent="0.3">
      <c r="A41" s="401" t="s">
        <v>810</v>
      </c>
      <c r="B41" s="509"/>
      <c r="C41" s="512">
        <v>0</v>
      </c>
      <c r="D41" s="501">
        <v>4.9370000000000003</v>
      </c>
      <c r="E41" s="502">
        <v>0.28100000000000003</v>
      </c>
      <c r="F41" s="503">
        <v>6.4000000000000001E-2</v>
      </c>
      <c r="G41" s="508">
        <v>8.11</v>
      </c>
      <c r="H41" s="508">
        <v>3.59</v>
      </c>
      <c r="I41" s="511">
        <v>4.68</v>
      </c>
      <c r="J41" s="499">
        <v>0.17499999999999999</v>
      </c>
      <c r="K41" s="24"/>
    </row>
    <row r="42" spans="1:11" ht="35.049999999999997" customHeight="1" x14ac:dyDescent="0.3">
      <c r="A42" s="401" t="s">
        <v>811</v>
      </c>
      <c r="B42" s="509"/>
      <c r="C42" s="512">
        <v>0</v>
      </c>
      <c r="D42" s="501">
        <v>4.9370000000000003</v>
      </c>
      <c r="E42" s="502">
        <v>0.28100000000000003</v>
      </c>
      <c r="F42" s="503">
        <v>6.4000000000000001E-2</v>
      </c>
      <c r="G42" s="508">
        <v>23.59</v>
      </c>
      <c r="H42" s="508">
        <v>3.59</v>
      </c>
      <c r="I42" s="511">
        <v>4.68</v>
      </c>
      <c r="J42" s="499">
        <v>0.17499999999999999</v>
      </c>
      <c r="K42" s="24"/>
    </row>
    <row r="43" spans="1:11" ht="35.049999999999997" customHeight="1" x14ac:dyDescent="0.3">
      <c r="A43" s="401" t="s">
        <v>812</v>
      </c>
      <c r="B43" s="509"/>
      <c r="C43" s="512">
        <v>0</v>
      </c>
      <c r="D43" s="501">
        <v>4.9370000000000003</v>
      </c>
      <c r="E43" s="502">
        <v>0.28100000000000003</v>
      </c>
      <c r="F43" s="503">
        <v>6.4000000000000001E-2</v>
      </c>
      <c r="G43" s="508">
        <v>31.28</v>
      </c>
      <c r="H43" s="508">
        <v>3.59</v>
      </c>
      <c r="I43" s="511">
        <v>4.68</v>
      </c>
      <c r="J43" s="499">
        <v>0.17499999999999999</v>
      </c>
      <c r="K43" s="24"/>
    </row>
    <row r="44" spans="1:11" ht="35.049999999999997" customHeight="1" x14ac:dyDescent="0.3">
      <c r="A44" s="401" t="s">
        <v>813</v>
      </c>
      <c r="B44" s="509"/>
      <c r="C44" s="512">
        <v>0</v>
      </c>
      <c r="D44" s="501">
        <v>4.9370000000000003</v>
      </c>
      <c r="E44" s="502">
        <v>0.28100000000000003</v>
      </c>
      <c r="F44" s="503">
        <v>6.4000000000000001E-2</v>
      </c>
      <c r="G44" s="508">
        <v>47.56</v>
      </c>
      <c r="H44" s="508">
        <v>3.59</v>
      </c>
      <c r="I44" s="511">
        <v>4.68</v>
      </c>
      <c r="J44" s="499">
        <v>0.17499999999999999</v>
      </c>
      <c r="K44" s="24"/>
    </row>
    <row r="45" spans="1:11" ht="35.049999999999997" customHeight="1" x14ac:dyDescent="0.3">
      <c r="A45" s="401" t="s">
        <v>814</v>
      </c>
      <c r="B45" s="509"/>
      <c r="C45" s="512">
        <v>0</v>
      </c>
      <c r="D45" s="501">
        <v>4.9370000000000003</v>
      </c>
      <c r="E45" s="502">
        <v>0.28100000000000003</v>
      </c>
      <c r="F45" s="503">
        <v>6.4000000000000001E-2</v>
      </c>
      <c r="G45" s="508">
        <v>92.78</v>
      </c>
      <c r="H45" s="508">
        <v>3.59</v>
      </c>
      <c r="I45" s="511">
        <v>4.68</v>
      </c>
      <c r="J45" s="499">
        <v>0.17499999999999999</v>
      </c>
      <c r="K45" s="24"/>
    </row>
    <row r="46" spans="1:11" ht="35.049999999999997" customHeight="1" x14ac:dyDescent="0.3">
      <c r="A46" s="401" t="s">
        <v>815</v>
      </c>
      <c r="B46" s="24" t="s">
        <v>1325</v>
      </c>
      <c r="C46" s="512">
        <v>0</v>
      </c>
      <c r="D46" s="501">
        <v>4.4530000000000003</v>
      </c>
      <c r="E46" s="502">
        <v>0.23200000000000001</v>
      </c>
      <c r="F46" s="503">
        <v>5.3999999999999999E-2</v>
      </c>
      <c r="G46" s="508">
        <v>112.98</v>
      </c>
      <c r="H46" s="508">
        <v>3.33</v>
      </c>
      <c r="I46" s="511">
        <v>4.6500000000000004</v>
      </c>
      <c r="J46" s="499">
        <v>0.155</v>
      </c>
      <c r="K46" s="24"/>
    </row>
    <row r="47" spans="1:11" ht="35.049999999999997" customHeight="1" x14ac:dyDescent="0.3">
      <c r="A47" s="401" t="s">
        <v>816</v>
      </c>
      <c r="B47" s="24" t="s">
        <v>1299</v>
      </c>
      <c r="C47" s="512">
        <v>0</v>
      </c>
      <c r="D47" s="501">
        <v>4.4530000000000003</v>
      </c>
      <c r="E47" s="502">
        <v>0.23200000000000001</v>
      </c>
      <c r="F47" s="503">
        <v>5.3999999999999999E-2</v>
      </c>
      <c r="G47" s="508">
        <v>221.57</v>
      </c>
      <c r="H47" s="508">
        <v>3.33</v>
      </c>
      <c r="I47" s="511">
        <v>4.6500000000000004</v>
      </c>
      <c r="J47" s="499">
        <v>0.155</v>
      </c>
      <c r="K47" s="24"/>
    </row>
    <row r="48" spans="1:11" ht="35.049999999999997" customHeight="1" x14ac:dyDescent="0.3">
      <c r="A48" s="401" t="s">
        <v>817</v>
      </c>
      <c r="B48" s="24" t="s">
        <v>1317</v>
      </c>
      <c r="C48" s="512">
        <v>0</v>
      </c>
      <c r="D48" s="501">
        <v>4.4530000000000003</v>
      </c>
      <c r="E48" s="502">
        <v>0.23200000000000001</v>
      </c>
      <c r="F48" s="503">
        <v>5.3999999999999999E-2</v>
      </c>
      <c r="G48" s="508">
        <v>386.51</v>
      </c>
      <c r="H48" s="508">
        <v>3.33</v>
      </c>
      <c r="I48" s="511">
        <v>4.6500000000000004</v>
      </c>
      <c r="J48" s="499">
        <v>0.155</v>
      </c>
      <c r="K48" s="24"/>
    </row>
    <row r="49" spans="1:11" ht="35.049999999999997" customHeight="1" x14ac:dyDescent="0.3">
      <c r="A49" s="401" t="s">
        <v>818</v>
      </c>
      <c r="B49" s="24" t="s">
        <v>1318</v>
      </c>
      <c r="C49" s="512">
        <v>0</v>
      </c>
      <c r="D49" s="501">
        <v>4.4530000000000003</v>
      </c>
      <c r="E49" s="502">
        <v>0.23200000000000001</v>
      </c>
      <c r="F49" s="503">
        <v>5.3999999999999999E-2</v>
      </c>
      <c r="G49" s="508">
        <v>672.92</v>
      </c>
      <c r="H49" s="508">
        <v>3.33</v>
      </c>
      <c r="I49" s="511">
        <v>4.6500000000000004</v>
      </c>
      <c r="J49" s="499">
        <v>0.155</v>
      </c>
      <c r="K49" s="24"/>
    </row>
    <row r="50" spans="1:11" ht="35.049999999999997" customHeight="1" x14ac:dyDescent="0.3">
      <c r="A50" s="401" t="s">
        <v>819</v>
      </c>
      <c r="B50" s="24" t="s">
        <v>1319</v>
      </c>
      <c r="C50" s="512">
        <v>0</v>
      </c>
      <c r="D50" s="501">
        <v>4.4530000000000003</v>
      </c>
      <c r="E50" s="502">
        <v>0.23200000000000001</v>
      </c>
      <c r="F50" s="503">
        <v>5.3999999999999999E-2</v>
      </c>
      <c r="G50" s="508">
        <v>1481.86</v>
      </c>
      <c r="H50" s="508">
        <v>3.33</v>
      </c>
      <c r="I50" s="511">
        <v>4.6500000000000004</v>
      </c>
      <c r="J50" s="499">
        <v>0.155</v>
      </c>
      <c r="K50" s="24"/>
    </row>
    <row r="51" spans="1:11" ht="35.049999999999997" customHeight="1" x14ac:dyDescent="0.3">
      <c r="A51" s="401" t="s">
        <v>585</v>
      </c>
      <c r="B51" s="24" t="s">
        <v>1329</v>
      </c>
      <c r="C51" s="512" t="s">
        <v>616</v>
      </c>
      <c r="D51" s="504">
        <v>18.795999999999999</v>
      </c>
      <c r="E51" s="505">
        <v>0.83099999999999996</v>
      </c>
      <c r="F51" s="503">
        <v>0.55400000000000005</v>
      </c>
      <c r="G51" s="509"/>
      <c r="H51" s="509"/>
      <c r="I51" s="510"/>
      <c r="J51" s="500"/>
      <c r="K51" s="24"/>
    </row>
    <row r="52" spans="1:11" ht="35.049999999999997" customHeight="1" x14ac:dyDescent="0.3">
      <c r="A52" s="401" t="s">
        <v>688</v>
      </c>
      <c r="B52" s="24" t="s">
        <v>1330</v>
      </c>
      <c r="C52" s="512">
        <v>0</v>
      </c>
      <c r="D52" s="501">
        <v>-8.5350000000000001</v>
      </c>
      <c r="E52" s="502">
        <v>-0.56000000000000005</v>
      </c>
      <c r="F52" s="503">
        <v>-0.127</v>
      </c>
      <c r="G52" s="508">
        <v>0</v>
      </c>
      <c r="H52" s="509"/>
      <c r="I52" s="510"/>
      <c r="J52" s="500"/>
      <c r="K52" s="24"/>
    </row>
    <row r="53" spans="1:11" ht="35.049999999999997" customHeight="1" x14ac:dyDescent="0.3">
      <c r="A53" s="401" t="s">
        <v>689</v>
      </c>
      <c r="B53" s="402"/>
      <c r="C53" s="512">
        <v>0</v>
      </c>
      <c r="D53" s="501">
        <v>-7.5039999999999996</v>
      </c>
      <c r="E53" s="502">
        <v>-0.47799999999999998</v>
      </c>
      <c r="F53" s="503">
        <v>-0.109</v>
      </c>
      <c r="G53" s="508">
        <v>0</v>
      </c>
      <c r="H53" s="509"/>
      <c r="I53" s="510"/>
      <c r="J53" s="500"/>
      <c r="K53" s="24"/>
    </row>
    <row r="54" spans="1:11" ht="35.049999999999997" customHeight="1" x14ac:dyDescent="0.3">
      <c r="A54" s="401" t="s">
        <v>599</v>
      </c>
      <c r="B54" s="24" t="s">
        <v>1331</v>
      </c>
      <c r="C54" s="512">
        <v>0</v>
      </c>
      <c r="D54" s="501">
        <v>-8.5350000000000001</v>
      </c>
      <c r="E54" s="502">
        <v>-0.56000000000000005</v>
      </c>
      <c r="F54" s="503">
        <v>-0.127</v>
      </c>
      <c r="G54" s="508">
        <v>0</v>
      </c>
      <c r="H54" s="509"/>
      <c r="I54" s="510"/>
      <c r="J54" s="499">
        <v>0.307</v>
      </c>
      <c r="K54" s="24"/>
    </row>
    <row r="55" spans="1:11" ht="35.049999999999997" customHeight="1" x14ac:dyDescent="0.3">
      <c r="A55" s="401" t="s">
        <v>690</v>
      </c>
      <c r="B55" s="402"/>
      <c r="C55" s="512">
        <v>0</v>
      </c>
      <c r="D55" s="501">
        <v>-7.5039999999999996</v>
      </c>
      <c r="E55" s="502">
        <v>-0.47799999999999998</v>
      </c>
      <c r="F55" s="503">
        <v>-0.109</v>
      </c>
      <c r="G55" s="508">
        <v>0</v>
      </c>
      <c r="H55" s="509"/>
      <c r="I55" s="510"/>
      <c r="J55" s="499">
        <v>0.26600000000000001</v>
      </c>
      <c r="K55" s="24"/>
    </row>
    <row r="56" spans="1:11" ht="35.049999999999997" customHeight="1" x14ac:dyDescent="0.3">
      <c r="A56" s="401" t="s">
        <v>600</v>
      </c>
      <c r="B56" s="24" t="s">
        <v>1332</v>
      </c>
      <c r="C56" s="512">
        <v>0</v>
      </c>
      <c r="D56" s="501">
        <v>-5.5279999999999996</v>
      </c>
      <c r="E56" s="502">
        <v>-0.31</v>
      </c>
      <c r="F56" s="503">
        <v>-7.0000000000000007E-2</v>
      </c>
      <c r="G56" s="508">
        <v>0</v>
      </c>
      <c r="H56" s="509"/>
      <c r="I56" s="510"/>
      <c r="J56" s="499">
        <v>0.217</v>
      </c>
      <c r="K56" s="24" t="s">
        <v>480</v>
      </c>
    </row>
    <row r="57" spans="1:11" ht="35.049999999999997" hidden="1" customHeight="1" x14ac:dyDescent="0.3">
      <c r="A57" s="398" t="s">
        <v>820</v>
      </c>
      <c r="B57" s="509"/>
      <c r="C57" s="512" t="s">
        <v>639</v>
      </c>
      <c r="D57" s="501">
        <v>6.4240000000000004</v>
      </c>
      <c r="E57" s="502">
        <v>0.42099999999999999</v>
      </c>
      <c r="F57" s="503">
        <v>9.6000000000000002E-2</v>
      </c>
      <c r="G57" s="508">
        <v>2.5</v>
      </c>
      <c r="H57" s="509"/>
      <c r="I57" s="510"/>
      <c r="J57" s="500"/>
      <c r="K57" s="24"/>
    </row>
    <row r="58" spans="1:11" ht="35.049999999999997" hidden="1" customHeight="1" x14ac:dyDescent="0.3">
      <c r="A58" s="398" t="s">
        <v>821</v>
      </c>
      <c r="B58" s="509"/>
      <c r="C58" s="512" t="s">
        <v>575</v>
      </c>
      <c r="D58" s="501">
        <v>6.4240000000000004</v>
      </c>
      <c r="E58" s="502">
        <v>0.42099999999999999</v>
      </c>
      <c r="F58" s="503">
        <v>9.6000000000000002E-2</v>
      </c>
      <c r="G58" s="509"/>
      <c r="H58" s="509"/>
      <c r="I58" s="510"/>
      <c r="J58" s="500"/>
      <c r="K58" s="24"/>
    </row>
    <row r="59" spans="1:11" ht="35.049999999999997" hidden="1" customHeight="1" x14ac:dyDescent="0.3">
      <c r="A59" s="398" t="s">
        <v>822</v>
      </c>
      <c r="B59" s="509"/>
      <c r="C59" s="512" t="s">
        <v>640</v>
      </c>
      <c r="D59" s="501">
        <v>6.1520000000000001</v>
      </c>
      <c r="E59" s="502">
        <v>0.40300000000000002</v>
      </c>
      <c r="F59" s="503">
        <v>9.1999999999999998E-2</v>
      </c>
      <c r="G59" s="508">
        <v>2.09</v>
      </c>
      <c r="H59" s="509"/>
      <c r="I59" s="510"/>
      <c r="J59" s="500"/>
      <c r="K59" s="24" t="s">
        <v>1314</v>
      </c>
    </row>
    <row r="60" spans="1:11" ht="35.049999999999997" hidden="1" customHeight="1" x14ac:dyDescent="0.3">
      <c r="A60" s="398" t="s">
        <v>823</v>
      </c>
      <c r="B60" s="509"/>
      <c r="C60" s="512" t="s">
        <v>640</v>
      </c>
      <c r="D60" s="501">
        <v>6.1520000000000001</v>
      </c>
      <c r="E60" s="502">
        <v>0.40300000000000002</v>
      </c>
      <c r="F60" s="503">
        <v>9.1999999999999998E-2</v>
      </c>
      <c r="G60" s="508">
        <v>2.23</v>
      </c>
      <c r="H60" s="509"/>
      <c r="I60" s="510"/>
      <c r="J60" s="500"/>
      <c r="K60" s="24" t="s">
        <v>1315</v>
      </c>
    </row>
    <row r="61" spans="1:11" ht="35.049999999999997" hidden="1" customHeight="1" x14ac:dyDescent="0.3">
      <c r="A61" s="398" t="s">
        <v>824</v>
      </c>
      <c r="B61" s="509"/>
      <c r="C61" s="512" t="s">
        <v>640</v>
      </c>
      <c r="D61" s="501">
        <v>6.1520000000000001</v>
      </c>
      <c r="E61" s="502">
        <v>0.40300000000000002</v>
      </c>
      <c r="F61" s="503">
        <v>9.1999999999999998E-2</v>
      </c>
      <c r="G61" s="508">
        <v>2.84</v>
      </c>
      <c r="H61" s="509"/>
      <c r="I61" s="510"/>
      <c r="J61" s="500"/>
      <c r="K61" s="24" t="s">
        <v>1316</v>
      </c>
    </row>
    <row r="62" spans="1:11" ht="35.049999999999997" hidden="1" customHeight="1" x14ac:dyDescent="0.3">
      <c r="A62" s="398" t="s">
        <v>825</v>
      </c>
      <c r="B62" s="509"/>
      <c r="C62" s="512" t="s">
        <v>640</v>
      </c>
      <c r="D62" s="501">
        <v>6.1520000000000001</v>
      </c>
      <c r="E62" s="502">
        <v>0.40300000000000002</v>
      </c>
      <c r="F62" s="503">
        <v>9.1999999999999998E-2</v>
      </c>
      <c r="G62" s="508">
        <v>3.95</v>
      </c>
      <c r="H62" s="509"/>
      <c r="I62" s="510"/>
      <c r="J62" s="500"/>
      <c r="K62" s="1"/>
    </row>
    <row r="63" spans="1:11" ht="35.049999999999997" hidden="1" customHeight="1" x14ac:dyDescent="0.3">
      <c r="A63" s="398" t="s">
        <v>826</v>
      </c>
      <c r="B63" s="509"/>
      <c r="C63" s="512" t="s">
        <v>640</v>
      </c>
      <c r="D63" s="501">
        <v>6.1520000000000001</v>
      </c>
      <c r="E63" s="502">
        <v>0.40300000000000002</v>
      </c>
      <c r="F63" s="503">
        <v>9.1999999999999998E-2</v>
      </c>
      <c r="G63" s="508">
        <v>7.83</v>
      </c>
      <c r="H63" s="509"/>
      <c r="I63" s="510"/>
      <c r="J63" s="500"/>
      <c r="K63" s="1"/>
    </row>
    <row r="64" spans="1:11" ht="35.049999999999997" hidden="1" customHeight="1" x14ac:dyDescent="0.3">
      <c r="A64" s="398" t="s">
        <v>586</v>
      </c>
      <c r="B64" s="509"/>
      <c r="C64" s="512" t="s">
        <v>577</v>
      </c>
      <c r="D64" s="501">
        <v>6.1520000000000001</v>
      </c>
      <c r="E64" s="502">
        <v>0.40300000000000002</v>
      </c>
      <c r="F64" s="503">
        <v>9.1999999999999998E-2</v>
      </c>
      <c r="G64" s="509"/>
      <c r="H64" s="509"/>
      <c r="I64" s="510"/>
      <c r="J64" s="500"/>
      <c r="K64" s="1"/>
    </row>
    <row r="65" spans="1:11" ht="35.049999999999997" hidden="1" customHeight="1" x14ac:dyDescent="0.3">
      <c r="A65" s="398" t="s">
        <v>827</v>
      </c>
      <c r="B65" s="509"/>
      <c r="C65" s="512">
        <v>0</v>
      </c>
      <c r="D65" s="501">
        <v>4.3230000000000004</v>
      </c>
      <c r="E65" s="502">
        <v>0.27</v>
      </c>
      <c r="F65" s="503">
        <v>6.0999999999999999E-2</v>
      </c>
      <c r="G65" s="508">
        <v>6.02</v>
      </c>
      <c r="H65" s="508">
        <v>1.59</v>
      </c>
      <c r="I65" s="511">
        <v>3.35</v>
      </c>
      <c r="J65" s="499">
        <v>0.16700000000000001</v>
      </c>
      <c r="K65" s="1"/>
    </row>
    <row r="66" spans="1:11" ht="35.049999999999997" hidden="1" customHeight="1" x14ac:dyDescent="0.3">
      <c r="A66" s="398" t="s">
        <v>828</v>
      </c>
      <c r="B66" s="509"/>
      <c r="C66" s="512">
        <v>0</v>
      </c>
      <c r="D66" s="501">
        <v>4.3230000000000004</v>
      </c>
      <c r="E66" s="502">
        <v>0.27</v>
      </c>
      <c r="F66" s="503">
        <v>6.0999999999999999E-2</v>
      </c>
      <c r="G66" s="508">
        <v>14.91</v>
      </c>
      <c r="H66" s="508">
        <v>1.59</v>
      </c>
      <c r="I66" s="511">
        <v>3.35</v>
      </c>
      <c r="J66" s="499">
        <v>0.16700000000000001</v>
      </c>
      <c r="K66" s="1"/>
    </row>
    <row r="67" spans="1:11" ht="35.049999999999997" hidden="1" customHeight="1" x14ac:dyDescent="0.3">
      <c r="A67" s="398" t="s">
        <v>829</v>
      </c>
      <c r="B67" s="509"/>
      <c r="C67" s="512">
        <v>0</v>
      </c>
      <c r="D67" s="501">
        <v>4.3230000000000004</v>
      </c>
      <c r="E67" s="502">
        <v>0.27</v>
      </c>
      <c r="F67" s="503">
        <v>6.0999999999999999E-2</v>
      </c>
      <c r="G67" s="508">
        <v>19.32</v>
      </c>
      <c r="H67" s="508">
        <v>1.59</v>
      </c>
      <c r="I67" s="511">
        <v>3.35</v>
      </c>
      <c r="J67" s="499">
        <v>0.16700000000000001</v>
      </c>
      <c r="K67" s="1"/>
    </row>
    <row r="68" spans="1:11" ht="35.049999999999997" hidden="1" customHeight="1" x14ac:dyDescent="0.3">
      <c r="A68" s="398" t="s">
        <v>830</v>
      </c>
      <c r="B68" s="509"/>
      <c r="C68" s="512">
        <v>0</v>
      </c>
      <c r="D68" s="501">
        <v>4.3230000000000004</v>
      </c>
      <c r="E68" s="502">
        <v>0.27</v>
      </c>
      <c r="F68" s="503">
        <v>6.0999999999999999E-2</v>
      </c>
      <c r="G68" s="508">
        <v>28.66</v>
      </c>
      <c r="H68" s="508">
        <v>1.59</v>
      </c>
      <c r="I68" s="511">
        <v>3.35</v>
      </c>
      <c r="J68" s="499">
        <v>0.16700000000000001</v>
      </c>
      <c r="K68" s="1"/>
    </row>
    <row r="69" spans="1:11" ht="35.049999999999997" hidden="1" customHeight="1" x14ac:dyDescent="0.3">
      <c r="A69" s="398" t="s">
        <v>831</v>
      </c>
      <c r="B69" s="509"/>
      <c r="C69" s="512">
        <v>0</v>
      </c>
      <c r="D69" s="501">
        <v>4.3230000000000004</v>
      </c>
      <c r="E69" s="502">
        <v>0.27</v>
      </c>
      <c r="F69" s="503">
        <v>6.0999999999999999E-2</v>
      </c>
      <c r="G69" s="508">
        <v>54.6</v>
      </c>
      <c r="H69" s="508">
        <v>1.59</v>
      </c>
      <c r="I69" s="511">
        <v>3.35</v>
      </c>
      <c r="J69" s="499">
        <v>0.16700000000000001</v>
      </c>
      <c r="K69" s="1"/>
    </row>
    <row r="70" spans="1:11" ht="35.049999999999997" hidden="1" customHeight="1" x14ac:dyDescent="0.3">
      <c r="A70" s="398" t="s">
        <v>832</v>
      </c>
      <c r="B70" s="509"/>
      <c r="C70" s="512">
        <v>0</v>
      </c>
      <c r="D70" s="501">
        <v>4.1420000000000003</v>
      </c>
      <c r="E70" s="502">
        <v>0.23599999999999999</v>
      </c>
      <c r="F70" s="503">
        <v>5.2999999999999999E-2</v>
      </c>
      <c r="G70" s="508">
        <v>6.82</v>
      </c>
      <c r="H70" s="508">
        <v>3.01</v>
      </c>
      <c r="I70" s="511">
        <v>3.92</v>
      </c>
      <c r="J70" s="499">
        <v>0.14699999999999999</v>
      </c>
      <c r="K70" s="1"/>
    </row>
    <row r="71" spans="1:11" ht="35.049999999999997" hidden="1" customHeight="1" x14ac:dyDescent="0.3">
      <c r="A71" s="398" t="s">
        <v>833</v>
      </c>
      <c r="B71" s="509"/>
      <c r="C71" s="512">
        <v>0</v>
      </c>
      <c r="D71" s="501">
        <v>4.1420000000000003</v>
      </c>
      <c r="E71" s="502">
        <v>0.23599999999999999</v>
      </c>
      <c r="F71" s="503">
        <v>5.2999999999999999E-2</v>
      </c>
      <c r="G71" s="508">
        <v>19.82</v>
      </c>
      <c r="H71" s="508">
        <v>3.01</v>
      </c>
      <c r="I71" s="511">
        <v>3.92</v>
      </c>
      <c r="J71" s="499">
        <v>0.14699999999999999</v>
      </c>
      <c r="K71" s="1"/>
    </row>
    <row r="72" spans="1:11" ht="35.049999999999997" hidden="1" customHeight="1" x14ac:dyDescent="0.3">
      <c r="A72" s="398" t="s">
        <v>834</v>
      </c>
      <c r="B72" s="509"/>
      <c r="C72" s="512">
        <v>0</v>
      </c>
      <c r="D72" s="501">
        <v>4.1420000000000003</v>
      </c>
      <c r="E72" s="502">
        <v>0.23599999999999999</v>
      </c>
      <c r="F72" s="503">
        <v>5.2999999999999999E-2</v>
      </c>
      <c r="G72" s="508">
        <v>26.27</v>
      </c>
      <c r="H72" s="508">
        <v>3.01</v>
      </c>
      <c r="I72" s="511">
        <v>3.92</v>
      </c>
      <c r="J72" s="499">
        <v>0.14699999999999999</v>
      </c>
      <c r="K72" s="1"/>
    </row>
    <row r="73" spans="1:11" ht="35.049999999999997" hidden="1" customHeight="1" x14ac:dyDescent="0.3">
      <c r="A73" s="398" t="s">
        <v>835</v>
      </c>
      <c r="B73" s="509"/>
      <c r="C73" s="512">
        <v>0</v>
      </c>
      <c r="D73" s="501">
        <v>4.1420000000000003</v>
      </c>
      <c r="E73" s="502">
        <v>0.23599999999999999</v>
      </c>
      <c r="F73" s="503">
        <v>5.2999999999999999E-2</v>
      </c>
      <c r="G73" s="508">
        <v>39.92</v>
      </c>
      <c r="H73" s="508">
        <v>3.01</v>
      </c>
      <c r="I73" s="511">
        <v>3.92</v>
      </c>
      <c r="J73" s="499">
        <v>0.14699999999999999</v>
      </c>
      <c r="K73" s="1"/>
    </row>
    <row r="74" spans="1:11" ht="35.049999999999997" hidden="1" customHeight="1" x14ac:dyDescent="0.3">
      <c r="A74" s="398" t="s">
        <v>836</v>
      </c>
      <c r="B74" s="509"/>
      <c r="C74" s="512">
        <v>0</v>
      </c>
      <c r="D74" s="501">
        <v>4.1420000000000003</v>
      </c>
      <c r="E74" s="502">
        <v>0.23599999999999999</v>
      </c>
      <c r="F74" s="503">
        <v>5.2999999999999999E-2</v>
      </c>
      <c r="G74" s="508">
        <v>77.87</v>
      </c>
      <c r="H74" s="508">
        <v>3.01</v>
      </c>
      <c r="I74" s="511">
        <v>3.92</v>
      </c>
      <c r="J74" s="499">
        <v>0.14699999999999999</v>
      </c>
      <c r="K74" s="1"/>
    </row>
    <row r="75" spans="1:11" ht="35.049999999999997" hidden="1" customHeight="1" x14ac:dyDescent="0.3">
      <c r="A75" s="398" t="s">
        <v>837</v>
      </c>
      <c r="B75" s="509"/>
      <c r="C75" s="512">
        <v>0</v>
      </c>
      <c r="D75" s="501">
        <v>3.7040000000000002</v>
      </c>
      <c r="E75" s="502">
        <v>0.193</v>
      </c>
      <c r="F75" s="503">
        <v>4.4999999999999998E-2</v>
      </c>
      <c r="G75" s="508">
        <v>94</v>
      </c>
      <c r="H75" s="508">
        <v>2.77</v>
      </c>
      <c r="I75" s="511">
        <v>3.87</v>
      </c>
      <c r="J75" s="499">
        <v>0.129</v>
      </c>
      <c r="K75" s="1"/>
    </row>
    <row r="76" spans="1:11" ht="35.049999999999997" hidden="1" customHeight="1" x14ac:dyDescent="0.3">
      <c r="A76" s="398" t="s">
        <v>838</v>
      </c>
      <c r="B76" s="509"/>
      <c r="C76" s="512">
        <v>0</v>
      </c>
      <c r="D76" s="501">
        <v>3.7040000000000002</v>
      </c>
      <c r="E76" s="502">
        <v>0.193</v>
      </c>
      <c r="F76" s="503">
        <v>4.4999999999999998E-2</v>
      </c>
      <c r="G76" s="508">
        <v>184.34</v>
      </c>
      <c r="H76" s="508">
        <v>2.77</v>
      </c>
      <c r="I76" s="511">
        <v>3.87</v>
      </c>
      <c r="J76" s="499">
        <v>0.129</v>
      </c>
      <c r="K76" s="1"/>
    </row>
    <row r="77" spans="1:11" ht="35.049999999999997" hidden="1" customHeight="1" x14ac:dyDescent="0.3">
      <c r="A77" s="398" t="s">
        <v>839</v>
      </c>
      <c r="B77" s="509"/>
      <c r="C77" s="512">
        <v>0</v>
      </c>
      <c r="D77" s="501">
        <v>3.7040000000000002</v>
      </c>
      <c r="E77" s="502">
        <v>0.193</v>
      </c>
      <c r="F77" s="503">
        <v>4.4999999999999998E-2</v>
      </c>
      <c r="G77" s="508">
        <v>321.54000000000002</v>
      </c>
      <c r="H77" s="508">
        <v>2.77</v>
      </c>
      <c r="I77" s="511">
        <v>3.87</v>
      </c>
      <c r="J77" s="499">
        <v>0.129</v>
      </c>
      <c r="K77" s="1"/>
    </row>
    <row r="78" spans="1:11" ht="35.049999999999997" hidden="1" customHeight="1" x14ac:dyDescent="0.3">
      <c r="A78" s="398" t="s">
        <v>840</v>
      </c>
      <c r="B78" s="509"/>
      <c r="C78" s="512">
        <v>0</v>
      </c>
      <c r="D78" s="501">
        <v>3.7040000000000002</v>
      </c>
      <c r="E78" s="502">
        <v>0.193</v>
      </c>
      <c r="F78" s="503">
        <v>4.4999999999999998E-2</v>
      </c>
      <c r="G78" s="508">
        <v>559.79</v>
      </c>
      <c r="H78" s="508">
        <v>2.77</v>
      </c>
      <c r="I78" s="511">
        <v>3.87</v>
      </c>
      <c r="J78" s="499">
        <v>0.129</v>
      </c>
      <c r="K78" s="1"/>
    </row>
    <row r="79" spans="1:11" ht="35.049999999999997" hidden="1" customHeight="1" x14ac:dyDescent="0.3">
      <c r="A79" s="398" t="s">
        <v>841</v>
      </c>
      <c r="B79" s="509"/>
      <c r="C79" s="512">
        <v>0</v>
      </c>
      <c r="D79" s="501">
        <v>3.7040000000000002</v>
      </c>
      <c r="E79" s="502">
        <v>0.193</v>
      </c>
      <c r="F79" s="503">
        <v>4.4999999999999998E-2</v>
      </c>
      <c r="G79" s="508">
        <v>1232.71</v>
      </c>
      <c r="H79" s="508">
        <v>2.77</v>
      </c>
      <c r="I79" s="511">
        <v>3.87</v>
      </c>
      <c r="J79" s="499">
        <v>0.129</v>
      </c>
      <c r="K79" s="1"/>
    </row>
    <row r="80" spans="1:11" ht="35.049999999999997" hidden="1" customHeight="1" x14ac:dyDescent="0.3">
      <c r="A80" s="398" t="s">
        <v>587</v>
      </c>
      <c r="B80" s="509"/>
      <c r="C80" s="512" t="s">
        <v>616</v>
      </c>
      <c r="D80" s="504">
        <v>16.093</v>
      </c>
      <c r="E80" s="505">
        <v>0.71199999999999997</v>
      </c>
      <c r="F80" s="503">
        <v>0.47399999999999998</v>
      </c>
      <c r="G80" s="509"/>
      <c r="H80" s="509"/>
      <c r="I80" s="510"/>
      <c r="J80" s="500"/>
      <c r="K80" s="1"/>
    </row>
    <row r="81" spans="1:11" ht="35.049999999999997" hidden="1" customHeight="1" x14ac:dyDescent="0.3">
      <c r="A81" s="398" t="s">
        <v>691</v>
      </c>
      <c r="B81" s="509"/>
      <c r="C81" s="512">
        <v>0</v>
      </c>
      <c r="D81" s="501">
        <v>-5.71</v>
      </c>
      <c r="E81" s="502">
        <v>-0.374</v>
      </c>
      <c r="F81" s="503">
        <v>-8.5000000000000006E-2</v>
      </c>
      <c r="G81" s="508">
        <v>0</v>
      </c>
      <c r="H81" s="509"/>
      <c r="I81" s="510"/>
      <c r="J81" s="500"/>
      <c r="K81" s="1"/>
    </row>
    <row r="82" spans="1:11" ht="35.049999999999997" hidden="1" customHeight="1" x14ac:dyDescent="0.3">
      <c r="A82" s="398" t="s">
        <v>692</v>
      </c>
      <c r="B82" s="509"/>
      <c r="C82" s="512">
        <v>0</v>
      </c>
      <c r="D82" s="501">
        <v>-5.5359999999999996</v>
      </c>
      <c r="E82" s="502">
        <v>-0.35199999999999998</v>
      </c>
      <c r="F82" s="503">
        <v>-0.08</v>
      </c>
      <c r="G82" s="508">
        <v>0</v>
      </c>
      <c r="H82" s="509"/>
      <c r="I82" s="510"/>
      <c r="J82" s="500"/>
      <c r="K82" s="1"/>
    </row>
    <row r="83" spans="1:11" ht="35.049999999999997" hidden="1" customHeight="1" x14ac:dyDescent="0.3">
      <c r="A83" s="398" t="s">
        <v>693</v>
      </c>
      <c r="B83" s="509"/>
      <c r="C83" s="512">
        <v>0</v>
      </c>
      <c r="D83" s="501">
        <v>-5.71</v>
      </c>
      <c r="E83" s="502">
        <v>-0.374</v>
      </c>
      <c r="F83" s="503">
        <v>-8.5000000000000006E-2</v>
      </c>
      <c r="G83" s="508">
        <v>0</v>
      </c>
      <c r="H83" s="509"/>
      <c r="I83" s="510"/>
      <c r="J83" s="499">
        <v>0.20499999999999999</v>
      </c>
      <c r="K83" s="1"/>
    </row>
    <row r="84" spans="1:11" ht="35.049999999999997" hidden="1" customHeight="1" x14ac:dyDescent="0.3">
      <c r="A84" s="398" t="s">
        <v>694</v>
      </c>
      <c r="B84" s="509"/>
      <c r="C84" s="512">
        <v>0</v>
      </c>
      <c r="D84" s="501">
        <v>-5.5359999999999996</v>
      </c>
      <c r="E84" s="502">
        <v>-0.35199999999999998</v>
      </c>
      <c r="F84" s="503">
        <v>-0.08</v>
      </c>
      <c r="G84" s="508">
        <v>0</v>
      </c>
      <c r="H84" s="509"/>
      <c r="I84" s="510"/>
      <c r="J84" s="499">
        <v>0.19600000000000001</v>
      </c>
      <c r="K84" s="1"/>
    </row>
    <row r="85" spans="1:11" ht="35.049999999999997" hidden="1" customHeight="1" x14ac:dyDescent="0.3">
      <c r="A85" s="398" t="s">
        <v>695</v>
      </c>
      <c r="B85" s="509"/>
      <c r="C85" s="512">
        <v>0</v>
      </c>
      <c r="D85" s="501">
        <v>-5.5279999999999996</v>
      </c>
      <c r="E85" s="502">
        <v>-0.31</v>
      </c>
      <c r="F85" s="503">
        <v>-7.0000000000000007E-2</v>
      </c>
      <c r="G85" s="508">
        <v>9.9</v>
      </c>
      <c r="H85" s="509"/>
      <c r="I85" s="510"/>
      <c r="J85" s="499">
        <v>0.217</v>
      </c>
      <c r="K85" s="1"/>
    </row>
    <row r="86" spans="1:11" ht="35.049999999999997" customHeight="1" x14ac:dyDescent="0.3">
      <c r="A86" s="398" t="s">
        <v>842</v>
      </c>
      <c r="B86" s="24" t="s">
        <v>1301</v>
      </c>
      <c r="C86" s="512" t="s">
        <v>639</v>
      </c>
      <c r="D86" s="501">
        <v>5.016</v>
      </c>
      <c r="E86" s="502">
        <v>0.32900000000000001</v>
      </c>
      <c r="F86" s="503">
        <v>7.4999999999999997E-2</v>
      </c>
      <c r="G86" s="508">
        <v>2</v>
      </c>
      <c r="H86" s="509"/>
      <c r="I86" s="510"/>
      <c r="J86" s="500"/>
      <c r="K86" s="24" t="s">
        <v>480</v>
      </c>
    </row>
    <row r="87" spans="1:11" ht="35.049999999999997" customHeight="1" x14ac:dyDescent="0.3">
      <c r="A87" s="398" t="s">
        <v>843</v>
      </c>
      <c r="B87" s="24" t="s">
        <v>1333</v>
      </c>
      <c r="C87" s="512" t="s">
        <v>575</v>
      </c>
      <c r="D87" s="501">
        <v>5.016</v>
      </c>
      <c r="E87" s="502">
        <v>0.32900000000000001</v>
      </c>
      <c r="F87" s="503">
        <v>7.4999999999999997E-2</v>
      </c>
      <c r="G87" s="509"/>
      <c r="H87" s="509"/>
      <c r="I87" s="510"/>
      <c r="J87" s="500"/>
      <c r="K87" s="24" t="s">
        <v>480</v>
      </c>
    </row>
    <row r="88" spans="1:11" ht="35.049999999999997" customHeight="1" x14ac:dyDescent="0.3">
      <c r="A88" s="398" t="s">
        <v>844</v>
      </c>
      <c r="B88" s="24" t="s">
        <v>1334</v>
      </c>
      <c r="C88" s="512" t="s">
        <v>640</v>
      </c>
      <c r="D88" s="501">
        <v>4.8040000000000003</v>
      </c>
      <c r="E88" s="502">
        <v>0.315</v>
      </c>
      <c r="F88" s="503">
        <v>7.1999999999999995E-2</v>
      </c>
      <c r="G88" s="508">
        <v>1.67</v>
      </c>
      <c r="H88" s="509"/>
      <c r="I88" s="510"/>
      <c r="J88" s="500"/>
      <c r="K88" s="24" t="s">
        <v>480</v>
      </c>
    </row>
    <row r="89" spans="1:11" ht="35.049999999999997" customHeight="1" x14ac:dyDescent="0.3">
      <c r="A89" s="398" t="s">
        <v>845</v>
      </c>
      <c r="B89" s="24" t="s">
        <v>1335</v>
      </c>
      <c r="C89" s="512" t="s">
        <v>640</v>
      </c>
      <c r="D89" s="501">
        <v>4.8040000000000003</v>
      </c>
      <c r="E89" s="502">
        <v>0.315</v>
      </c>
      <c r="F89" s="503">
        <v>7.1999999999999995E-2</v>
      </c>
      <c r="G89" s="508">
        <v>1.77</v>
      </c>
      <c r="H89" s="509"/>
      <c r="I89" s="510"/>
      <c r="J89" s="500"/>
      <c r="K89" s="24" t="s">
        <v>480</v>
      </c>
    </row>
    <row r="90" spans="1:11" ht="35.049999999999997" customHeight="1" x14ac:dyDescent="0.3">
      <c r="A90" s="398" t="s">
        <v>846</v>
      </c>
      <c r="B90" s="24" t="s">
        <v>1336</v>
      </c>
      <c r="C90" s="512" t="s">
        <v>640</v>
      </c>
      <c r="D90" s="501">
        <v>4.8040000000000003</v>
      </c>
      <c r="E90" s="502">
        <v>0.315</v>
      </c>
      <c r="F90" s="503">
        <v>7.1999999999999995E-2</v>
      </c>
      <c r="G90" s="508">
        <v>2.25</v>
      </c>
      <c r="H90" s="509"/>
      <c r="I90" s="510"/>
      <c r="J90" s="500"/>
      <c r="K90" s="24" t="s">
        <v>480</v>
      </c>
    </row>
    <row r="91" spans="1:11" ht="35.049999999999997" customHeight="1" x14ac:dyDescent="0.3">
      <c r="A91" s="398" t="s">
        <v>847</v>
      </c>
      <c r="B91" s="24" t="s">
        <v>1337</v>
      </c>
      <c r="C91" s="512" t="s">
        <v>640</v>
      </c>
      <c r="D91" s="501">
        <v>4.8040000000000003</v>
      </c>
      <c r="E91" s="502">
        <v>0.315</v>
      </c>
      <c r="F91" s="503">
        <v>7.1999999999999995E-2</v>
      </c>
      <c r="G91" s="508">
        <v>3.12</v>
      </c>
      <c r="H91" s="509"/>
      <c r="I91" s="510"/>
      <c r="J91" s="500"/>
      <c r="K91" s="24" t="s">
        <v>480</v>
      </c>
    </row>
    <row r="92" spans="1:11" ht="35.049999999999997" customHeight="1" x14ac:dyDescent="0.3">
      <c r="A92" s="398" t="s">
        <v>848</v>
      </c>
      <c r="B92" s="24" t="s">
        <v>1338</v>
      </c>
      <c r="C92" s="512" t="s">
        <v>640</v>
      </c>
      <c r="D92" s="501">
        <v>4.8040000000000003</v>
      </c>
      <c r="E92" s="502">
        <v>0.315</v>
      </c>
      <c r="F92" s="503">
        <v>7.1999999999999995E-2</v>
      </c>
      <c r="G92" s="508">
        <v>6.15</v>
      </c>
      <c r="H92" s="509"/>
      <c r="I92" s="510"/>
      <c r="J92" s="500"/>
      <c r="K92" s="24" t="s">
        <v>480</v>
      </c>
    </row>
    <row r="93" spans="1:11" ht="35.049999999999997" customHeight="1" x14ac:dyDescent="0.3">
      <c r="A93" s="398" t="s">
        <v>588</v>
      </c>
      <c r="B93" s="24" t="s">
        <v>1339</v>
      </c>
      <c r="C93" s="512" t="s">
        <v>577</v>
      </c>
      <c r="D93" s="501">
        <v>4.8040000000000003</v>
      </c>
      <c r="E93" s="502">
        <v>0.315</v>
      </c>
      <c r="F93" s="503">
        <v>7.1999999999999995E-2</v>
      </c>
      <c r="G93" s="509"/>
      <c r="H93" s="509"/>
      <c r="I93" s="510"/>
      <c r="J93" s="500"/>
      <c r="K93" s="24" t="s">
        <v>480</v>
      </c>
    </row>
    <row r="94" spans="1:11" ht="35.049999999999997" customHeight="1" x14ac:dyDescent="0.3">
      <c r="A94" s="398" t="s">
        <v>849</v>
      </c>
      <c r="B94" s="24" t="s">
        <v>1340</v>
      </c>
      <c r="C94" s="512">
        <v>0</v>
      </c>
      <c r="D94" s="501">
        <v>3.375</v>
      </c>
      <c r="E94" s="502">
        <v>0.21099999999999999</v>
      </c>
      <c r="F94" s="503">
        <v>4.8000000000000001E-2</v>
      </c>
      <c r="G94" s="508">
        <v>4.74</v>
      </c>
      <c r="H94" s="508">
        <v>1.24</v>
      </c>
      <c r="I94" s="511">
        <v>2.62</v>
      </c>
      <c r="J94" s="499">
        <v>0.13</v>
      </c>
      <c r="K94" s="24" t="s">
        <v>480</v>
      </c>
    </row>
    <row r="95" spans="1:11" ht="35.049999999999997" customHeight="1" x14ac:dyDescent="0.3">
      <c r="A95" s="398" t="s">
        <v>850</v>
      </c>
      <c r="B95" s="24" t="s">
        <v>1341</v>
      </c>
      <c r="C95" s="512">
        <v>0</v>
      </c>
      <c r="D95" s="501">
        <v>3.375</v>
      </c>
      <c r="E95" s="502">
        <v>0.21099999999999999</v>
      </c>
      <c r="F95" s="503">
        <v>4.8000000000000001E-2</v>
      </c>
      <c r="G95" s="508">
        <v>11.67</v>
      </c>
      <c r="H95" s="508">
        <v>1.24</v>
      </c>
      <c r="I95" s="511">
        <v>2.62</v>
      </c>
      <c r="J95" s="499">
        <v>0.13</v>
      </c>
      <c r="K95" s="24" t="s">
        <v>480</v>
      </c>
    </row>
    <row r="96" spans="1:11" ht="35.049999999999997" customHeight="1" x14ac:dyDescent="0.3">
      <c r="A96" s="398" t="s">
        <v>851</v>
      </c>
      <c r="B96" s="24" t="s">
        <v>1342</v>
      </c>
      <c r="C96" s="512">
        <v>0</v>
      </c>
      <c r="D96" s="501">
        <v>3.375</v>
      </c>
      <c r="E96" s="502">
        <v>0.21099999999999999</v>
      </c>
      <c r="F96" s="503">
        <v>4.8000000000000001E-2</v>
      </c>
      <c r="G96" s="508">
        <v>15.12</v>
      </c>
      <c r="H96" s="508">
        <v>1.24</v>
      </c>
      <c r="I96" s="511">
        <v>2.62</v>
      </c>
      <c r="J96" s="499">
        <v>0.13</v>
      </c>
      <c r="K96" s="24" t="s">
        <v>480</v>
      </c>
    </row>
    <row r="97" spans="1:11" ht="35.049999999999997" customHeight="1" x14ac:dyDescent="0.3">
      <c r="A97" s="398" t="s">
        <v>852</v>
      </c>
      <c r="B97" s="24" t="s">
        <v>1343</v>
      </c>
      <c r="C97" s="512">
        <v>0</v>
      </c>
      <c r="D97" s="501">
        <v>3.375</v>
      </c>
      <c r="E97" s="502">
        <v>0.21099999999999999</v>
      </c>
      <c r="F97" s="503">
        <v>4.8000000000000001E-2</v>
      </c>
      <c r="G97" s="508">
        <v>22.41</v>
      </c>
      <c r="H97" s="508">
        <v>1.24</v>
      </c>
      <c r="I97" s="511">
        <v>2.62</v>
      </c>
      <c r="J97" s="499">
        <v>0.13</v>
      </c>
      <c r="K97" s="24" t="s">
        <v>480</v>
      </c>
    </row>
    <row r="98" spans="1:11" ht="35.049999999999997" customHeight="1" x14ac:dyDescent="0.3">
      <c r="A98" s="398" t="s">
        <v>853</v>
      </c>
      <c r="B98" s="24" t="s">
        <v>1344</v>
      </c>
      <c r="C98" s="512">
        <v>0</v>
      </c>
      <c r="D98" s="501">
        <v>3.375</v>
      </c>
      <c r="E98" s="502">
        <v>0.21099999999999999</v>
      </c>
      <c r="F98" s="503">
        <v>4.8000000000000001E-2</v>
      </c>
      <c r="G98" s="508">
        <v>42.66</v>
      </c>
      <c r="H98" s="508">
        <v>1.24</v>
      </c>
      <c r="I98" s="511">
        <v>2.62</v>
      </c>
      <c r="J98" s="499">
        <v>0.13</v>
      </c>
      <c r="K98" s="24" t="s">
        <v>480</v>
      </c>
    </row>
    <row r="99" spans="1:11" ht="35.049999999999997" customHeight="1" x14ac:dyDescent="0.3">
      <c r="A99" s="398" t="s">
        <v>854</v>
      </c>
      <c r="B99" s="510"/>
      <c r="C99" s="512">
        <v>0</v>
      </c>
      <c r="D99" s="501">
        <v>3.234</v>
      </c>
      <c r="E99" s="502">
        <v>0.184</v>
      </c>
      <c r="F99" s="503">
        <v>4.2000000000000003E-2</v>
      </c>
      <c r="G99" s="508">
        <v>5.36</v>
      </c>
      <c r="H99" s="508">
        <v>2.35</v>
      </c>
      <c r="I99" s="511">
        <v>3.06</v>
      </c>
      <c r="J99" s="499">
        <v>0.115</v>
      </c>
      <c r="K99" s="509"/>
    </row>
    <row r="100" spans="1:11" ht="35.049999999999997" customHeight="1" x14ac:dyDescent="0.3">
      <c r="A100" s="398" t="s">
        <v>855</v>
      </c>
      <c r="B100" s="510"/>
      <c r="C100" s="512">
        <v>0</v>
      </c>
      <c r="D100" s="501">
        <v>3.234</v>
      </c>
      <c r="E100" s="502">
        <v>0.184</v>
      </c>
      <c r="F100" s="503">
        <v>4.2000000000000003E-2</v>
      </c>
      <c r="G100" s="508">
        <v>15.5</v>
      </c>
      <c r="H100" s="508">
        <v>2.35</v>
      </c>
      <c r="I100" s="511">
        <v>3.06</v>
      </c>
      <c r="J100" s="499">
        <v>0.115</v>
      </c>
      <c r="K100" s="509"/>
    </row>
    <row r="101" spans="1:11" ht="35.049999999999997" customHeight="1" x14ac:dyDescent="0.3">
      <c r="A101" s="398" t="s">
        <v>856</v>
      </c>
      <c r="B101" s="510"/>
      <c r="C101" s="512">
        <v>0</v>
      </c>
      <c r="D101" s="501">
        <v>3.234</v>
      </c>
      <c r="E101" s="502">
        <v>0.184</v>
      </c>
      <c r="F101" s="503">
        <v>4.2000000000000003E-2</v>
      </c>
      <c r="G101" s="508">
        <v>20.54</v>
      </c>
      <c r="H101" s="508">
        <v>2.35</v>
      </c>
      <c r="I101" s="511">
        <v>3.06</v>
      </c>
      <c r="J101" s="499">
        <v>0.115</v>
      </c>
      <c r="K101" s="509"/>
    </row>
    <row r="102" spans="1:11" ht="35.049999999999997" customHeight="1" x14ac:dyDescent="0.3">
      <c r="A102" s="398" t="s">
        <v>857</v>
      </c>
      <c r="B102" s="510"/>
      <c r="C102" s="512">
        <v>0</v>
      </c>
      <c r="D102" s="501">
        <v>3.234</v>
      </c>
      <c r="E102" s="502">
        <v>0.184</v>
      </c>
      <c r="F102" s="503">
        <v>4.2000000000000003E-2</v>
      </c>
      <c r="G102" s="508">
        <v>31.2</v>
      </c>
      <c r="H102" s="508">
        <v>2.35</v>
      </c>
      <c r="I102" s="511">
        <v>3.06</v>
      </c>
      <c r="J102" s="499">
        <v>0.115</v>
      </c>
      <c r="K102" s="509"/>
    </row>
    <row r="103" spans="1:11" ht="35.049999999999997" customHeight="1" x14ac:dyDescent="0.3">
      <c r="A103" s="398" t="s">
        <v>858</v>
      </c>
      <c r="B103" s="510"/>
      <c r="C103" s="512">
        <v>0</v>
      </c>
      <c r="D103" s="501">
        <v>3.234</v>
      </c>
      <c r="E103" s="502">
        <v>0.184</v>
      </c>
      <c r="F103" s="503">
        <v>4.2000000000000003E-2</v>
      </c>
      <c r="G103" s="508">
        <v>60.83</v>
      </c>
      <c r="H103" s="508">
        <v>2.35</v>
      </c>
      <c r="I103" s="511">
        <v>3.06</v>
      </c>
      <c r="J103" s="499">
        <v>0.115</v>
      </c>
      <c r="K103" s="509"/>
    </row>
    <row r="104" spans="1:11" ht="35.049999999999997" customHeight="1" x14ac:dyDescent="0.3">
      <c r="A104" s="398" t="s">
        <v>859</v>
      </c>
      <c r="B104" s="24" t="s">
        <v>1340</v>
      </c>
      <c r="C104" s="512">
        <v>0</v>
      </c>
      <c r="D104" s="501">
        <v>2.8919999999999999</v>
      </c>
      <c r="E104" s="502">
        <v>0.151</v>
      </c>
      <c r="F104" s="503">
        <v>3.5000000000000003E-2</v>
      </c>
      <c r="G104" s="508">
        <v>73.430000000000007</v>
      </c>
      <c r="H104" s="508">
        <v>2.16</v>
      </c>
      <c r="I104" s="511">
        <v>3.02</v>
      </c>
      <c r="J104" s="499">
        <v>0.10100000000000001</v>
      </c>
      <c r="K104" s="24" t="s">
        <v>1325</v>
      </c>
    </row>
    <row r="105" spans="1:11" ht="35.049999999999997" customHeight="1" x14ac:dyDescent="0.3">
      <c r="A105" s="398" t="s">
        <v>860</v>
      </c>
      <c r="B105" s="24" t="s">
        <v>1335</v>
      </c>
      <c r="C105" s="512">
        <v>0</v>
      </c>
      <c r="D105" s="501">
        <v>2.8919999999999999</v>
      </c>
      <c r="E105" s="502">
        <v>0.151</v>
      </c>
      <c r="F105" s="503">
        <v>3.5000000000000003E-2</v>
      </c>
      <c r="G105" s="508">
        <v>143.97</v>
      </c>
      <c r="H105" s="508">
        <v>2.16</v>
      </c>
      <c r="I105" s="511">
        <v>3.02</v>
      </c>
      <c r="J105" s="499">
        <v>0.10100000000000001</v>
      </c>
      <c r="K105" s="24" t="s">
        <v>1299</v>
      </c>
    </row>
    <row r="106" spans="1:11" ht="35.049999999999997" customHeight="1" x14ac:dyDescent="0.3">
      <c r="A106" s="398" t="s">
        <v>861</v>
      </c>
      <c r="B106" s="24" t="s">
        <v>1336</v>
      </c>
      <c r="C106" s="512">
        <v>0</v>
      </c>
      <c r="D106" s="501">
        <v>2.8919999999999999</v>
      </c>
      <c r="E106" s="502">
        <v>0.151</v>
      </c>
      <c r="F106" s="503">
        <v>3.5000000000000003E-2</v>
      </c>
      <c r="G106" s="508">
        <v>251.1</v>
      </c>
      <c r="H106" s="508">
        <v>2.16</v>
      </c>
      <c r="I106" s="511">
        <v>3.02</v>
      </c>
      <c r="J106" s="499">
        <v>0.10100000000000001</v>
      </c>
      <c r="K106" s="24" t="s">
        <v>1317</v>
      </c>
    </row>
    <row r="107" spans="1:11" ht="35.049999999999997" customHeight="1" x14ac:dyDescent="0.3">
      <c r="A107" s="398" t="s">
        <v>862</v>
      </c>
      <c r="B107" s="24" t="s">
        <v>1337</v>
      </c>
      <c r="C107" s="512">
        <v>0</v>
      </c>
      <c r="D107" s="501">
        <v>2.8919999999999999</v>
      </c>
      <c r="E107" s="502">
        <v>0.151</v>
      </c>
      <c r="F107" s="503">
        <v>3.5000000000000003E-2</v>
      </c>
      <c r="G107" s="508">
        <v>437.13</v>
      </c>
      <c r="H107" s="508">
        <v>2.16</v>
      </c>
      <c r="I107" s="511">
        <v>3.02</v>
      </c>
      <c r="J107" s="499">
        <v>0.10100000000000001</v>
      </c>
      <c r="K107" s="24" t="s">
        <v>1318</v>
      </c>
    </row>
    <row r="108" spans="1:11" ht="35.049999999999997" customHeight="1" x14ac:dyDescent="0.3">
      <c r="A108" s="398" t="s">
        <v>863</v>
      </c>
      <c r="B108" s="24" t="s">
        <v>1338</v>
      </c>
      <c r="C108" s="512">
        <v>0</v>
      </c>
      <c r="D108" s="501">
        <v>2.8919999999999999</v>
      </c>
      <c r="E108" s="502">
        <v>0.151</v>
      </c>
      <c r="F108" s="503">
        <v>3.5000000000000003E-2</v>
      </c>
      <c r="G108" s="508">
        <v>962.57</v>
      </c>
      <c r="H108" s="508">
        <v>2.16</v>
      </c>
      <c r="I108" s="511">
        <v>3.02</v>
      </c>
      <c r="J108" s="499">
        <v>0.10100000000000001</v>
      </c>
      <c r="K108" s="24" t="s">
        <v>1319</v>
      </c>
    </row>
    <row r="109" spans="1:11" ht="35.049999999999997" customHeight="1" x14ac:dyDescent="0.3">
      <c r="A109" s="398" t="s">
        <v>589</v>
      </c>
      <c r="B109" s="24" t="s">
        <v>1345</v>
      </c>
      <c r="C109" s="512" t="s">
        <v>616</v>
      </c>
      <c r="D109" s="504">
        <v>12.566000000000001</v>
      </c>
      <c r="E109" s="505">
        <v>0.55600000000000005</v>
      </c>
      <c r="F109" s="503">
        <v>0.37</v>
      </c>
      <c r="G109" s="509"/>
      <c r="H109" s="509"/>
      <c r="I109" s="510"/>
      <c r="J109" s="500"/>
      <c r="K109" s="24" t="s">
        <v>1329</v>
      </c>
    </row>
    <row r="110" spans="1:11" ht="35.049999999999997" customHeight="1" x14ac:dyDescent="0.3">
      <c r="A110" s="398" t="s">
        <v>696</v>
      </c>
      <c r="B110" s="24"/>
      <c r="C110" s="512">
        <v>0</v>
      </c>
      <c r="D110" s="501">
        <v>-4.4589999999999996</v>
      </c>
      <c r="E110" s="502">
        <v>-0.29199999999999998</v>
      </c>
      <c r="F110" s="503">
        <v>-6.7000000000000004E-2</v>
      </c>
      <c r="G110" s="508">
        <v>0</v>
      </c>
      <c r="H110" s="509"/>
      <c r="I110" s="510"/>
      <c r="J110" s="500"/>
      <c r="K110" s="24" t="s">
        <v>1330</v>
      </c>
    </row>
    <row r="111" spans="1:11" ht="35.049999999999997" customHeight="1" x14ac:dyDescent="0.3">
      <c r="A111" s="398" t="s">
        <v>697</v>
      </c>
      <c r="B111" s="24"/>
      <c r="C111" s="512">
        <v>0</v>
      </c>
      <c r="D111" s="501">
        <v>-4.3230000000000004</v>
      </c>
      <c r="E111" s="502">
        <v>-0.27500000000000002</v>
      </c>
      <c r="F111" s="503">
        <v>-6.3E-2</v>
      </c>
      <c r="G111" s="508">
        <v>0</v>
      </c>
      <c r="H111" s="509"/>
      <c r="I111" s="510"/>
      <c r="J111" s="500"/>
      <c r="K111" s="402"/>
    </row>
    <row r="112" spans="1:11" ht="35.049999999999997" customHeight="1" x14ac:dyDescent="0.3">
      <c r="A112" s="398" t="s">
        <v>698</v>
      </c>
      <c r="B112" s="24"/>
      <c r="C112" s="512">
        <v>0</v>
      </c>
      <c r="D112" s="501">
        <v>-4.4589999999999996</v>
      </c>
      <c r="E112" s="502">
        <v>-0.29199999999999998</v>
      </c>
      <c r="F112" s="503">
        <v>-6.7000000000000004E-2</v>
      </c>
      <c r="G112" s="508">
        <v>0</v>
      </c>
      <c r="H112" s="509"/>
      <c r="I112" s="510"/>
      <c r="J112" s="499">
        <v>0.16</v>
      </c>
      <c r="K112" s="24" t="s">
        <v>1331</v>
      </c>
    </row>
    <row r="113" spans="1:11" ht="35.049999999999997" customHeight="1" x14ac:dyDescent="0.3">
      <c r="A113" s="398" t="s">
        <v>699</v>
      </c>
      <c r="B113" s="24"/>
      <c r="C113" s="512">
        <v>0</v>
      </c>
      <c r="D113" s="501">
        <v>-4.3230000000000004</v>
      </c>
      <c r="E113" s="502">
        <v>-0.27500000000000002</v>
      </c>
      <c r="F113" s="503">
        <v>-6.3E-2</v>
      </c>
      <c r="G113" s="508">
        <v>0</v>
      </c>
      <c r="H113" s="509"/>
      <c r="I113" s="510"/>
      <c r="J113" s="499">
        <v>0.153</v>
      </c>
      <c r="K113" s="402"/>
    </row>
    <row r="114" spans="1:11" ht="35.049999999999997" customHeight="1" x14ac:dyDescent="0.3">
      <c r="A114" s="398" t="s">
        <v>700</v>
      </c>
      <c r="B114" s="24"/>
      <c r="C114" s="512">
        <v>0</v>
      </c>
      <c r="D114" s="501">
        <v>-4.3159999999999998</v>
      </c>
      <c r="E114" s="502">
        <v>-0.24199999999999999</v>
      </c>
      <c r="F114" s="503">
        <v>-5.5E-2</v>
      </c>
      <c r="G114" s="508">
        <v>7.73</v>
      </c>
      <c r="H114" s="509"/>
      <c r="I114" s="510"/>
      <c r="J114" s="499">
        <v>0.16900000000000001</v>
      </c>
      <c r="K114" s="24" t="s">
        <v>1332</v>
      </c>
    </row>
    <row r="115" spans="1:11" ht="35.049999999999997" customHeight="1" x14ac:dyDescent="0.3">
      <c r="A115" s="398" t="s">
        <v>864</v>
      </c>
      <c r="B115" s="509"/>
      <c r="C115" s="512" t="s">
        <v>639</v>
      </c>
      <c r="D115" s="501">
        <v>3.8740000000000001</v>
      </c>
      <c r="E115" s="502">
        <v>0.254</v>
      </c>
      <c r="F115" s="503">
        <v>5.8000000000000003E-2</v>
      </c>
      <c r="G115" s="508">
        <v>1.6</v>
      </c>
      <c r="H115" s="509"/>
      <c r="I115" s="510"/>
      <c r="J115" s="500"/>
    </row>
    <row r="116" spans="1:11" ht="35.049999999999997" customHeight="1" x14ac:dyDescent="0.3">
      <c r="A116" s="398" t="s">
        <v>865</v>
      </c>
      <c r="B116" s="509"/>
      <c r="C116" s="512" t="s">
        <v>575</v>
      </c>
      <c r="D116" s="501">
        <v>3.8740000000000001</v>
      </c>
      <c r="E116" s="502">
        <v>0.254</v>
      </c>
      <c r="F116" s="503">
        <v>5.8000000000000003E-2</v>
      </c>
      <c r="G116" s="509"/>
      <c r="H116" s="509"/>
      <c r="I116" s="510"/>
      <c r="J116" s="500"/>
    </row>
    <row r="117" spans="1:11" ht="35.049999999999997" customHeight="1" x14ac:dyDescent="0.3">
      <c r="A117" s="398" t="s">
        <v>866</v>
      </c>
      <c r="B117" s="509"/>
      <c r="C117" s="512" t="s">
        <v>640</v>
      </c>
      <c r="D117" s="501">
        <v>3.71</v>
      </c>
      <c r="E117" s="502">
        <v>0.24299999999999999</v>
      </c>
      <c r="F117" s="503">
        <v>5.5E-2</v>
      </c>
      <c r="G117" s="508">
        <v>1.32</v>
      </c>
      <c r="H117" s="509"/>
      <c r="I117" s="510"/>
      <c r="J117" s="500"/>
    </row>
    <row r="118" spans="1:11" ht="35.049999999999997" customHeight="1" x14ac:dyDescent="0.3">
      <c r="A118" s="398" t="s">
        <v>867</v>
      </c>
      <c r="B118" s="509"/>
      <c r="C118" s="512" t="s">
        <v>640</v>
      </c>
      <c r="D118" s="501">
        <v>3.71</v>
      </c>
      <c r="E118" s="502">
        <v>0.24299999999999999</v>
      </c>
      <c r="F118" s="503">
        <v>5.5E-2</v>
      </c>
      <c r="G118" s="508">
        <v>1.4</v>
      </c>
      <c r="H118" s="509"/>
      <c r="I118" s="510"/>
      <c r="J118" s="500"/>
    </row>
    <row r="119" spans="1:11" ht="35.049999999999997" customHeight="1" x14ac:dyDescent="0.3">
      <c r="A119" s="398" t="s">
        <v>868</v>
      </c>
      <c r="B119" s="509"/>
      <c r="C119" s="512" t="s">
        <v>640</v>
      </c>
      <c r="D119" s="501">
        <v>3.71</v>
      </c>
      <c r="E119" s="502">
        <v>0.24299999999999999</v>
      </c>
      <c r="F119" s="503">
        <v>5.5E-2</v>
      </c>
      <c r="G119" s="508">
        <v>1.77</v>
      </c>
      <c r="H119" s="509"/>
      <c r="I119" s="510"/>
      <c r="J119" s="500"/>
    </row>
    <row r="120" spans="1:11" ht="35.049999999999997" customHeight="1" x14ac:dyDescent="0.3">
      <c r="A120" s="398" t="s">
        <v>869</v>
      </c>
      <c r="B120" s="509"/>
      <c r="C120" s="512" t="s">
        <v>640</v>
      </c>
      <c r="D120" s="501">
        <v>3.71</v>
      </c>
      <c r="E120" s="502">
        <v>0.24299999999999999</v>
      </c>
      <c r="F120" s="503">
        <v>5.5E-2</v>
      </c>
      <c r="G120" s="508">
        <v>2.44</v>
      </c>
      <c r="H120" s="509"/>
      <c r="I120" s="510"/>
      <c r="J120" s="500"/>
    </row>
    <row r="121" spans="1:11" ht="35.049999999999997" customHeight="1" x14ac:dyDescent="0.3">
      <c r="A121" s="398" t="s">
        <v>870</v>
      </c>
      <c r="B121" s="509"/>
      <c r="C121" s="512" t="s">
        <v>640</v>
      </c>
      <c r="D121" s="501">
        <v>3.71</v>
      </c>
      <c r="E121" s="502">
        <v>0.24299999999999999</v>
      </c>
      <c r="F121" s="503">
        <v>5.5E-2</v>
      </c>
      <c r="G121" s="508">
        <v>4.78</v>
      </c>
      <c r="H121" s="509"/>
      <c r="I121" s="510"/>
      <c r="J121" s="500"/>
    </row>
    <row r="122" spans="1:11" ht="35.049999999999997" customHeight="1" x14ac:dyDescent="0.3">
      <c r="A122" s="398" t="s">
        <v>590</v>
      </c>
      <c r="B122" s="509"/>
      <c r="C122" s="512" t="s">
        <v>577</v>
      </c>
      <c r="D122" s="501">
        <v>3.71</v>
      </c>
      <c r="E122" s="502">
        <v>0.24299999999999999</v>
      </c>
      <c r="F122" s="503">
        <v>5.5E-2</v>
      </c>
      <c r="G122" s="509"/>
      <c r="H122" s="509"/>
      <c r="I122" s="510"/>
      <c r="J122" s="500"/>
    </row>
    <row r="123" spans="1:11" ht="35.049999999999997" customHeight="1" x14ac:dyDescent="0.3">
      <c r="A123" s="398" t="s">
        <v>871</v>
      </c>
      <c r="B123" s="509"/>
      <c r="C123" s="512">
        <v>0</v>
      </c>
      <c r="D123" s="501">
        <v>2.6070000000000002</v>
      </c>
      <c r="E123" s="502">
        <v>0.16300000000000001</v>
      </c>
      <c r="F123" s="503">
        <v>3.6999999999999998E-2</v>
      </c>
      <c r="G123" s="508">
        <v>3.69</v>
      </c>
      <c r="H123" s="508">
        <v>0.96</v>
      </c>
      <c r="I123" s="511">
        <v>2.02</v>
      </c>
      <c r="J123" s="499">
        <v>0.1</v>
      </c>
    </row>
    <row r="124" spans="1:11" ht="35.049999999999997" customHeight="1" x14ac:dyDescent="0.3">
      <c r="A124" s="398" t="s">
        <v>872</v>
      </c>
      <c r="B124" s="509"/>
      <c r="C124" s="512">
        <v>0</v>
      </c>
      <c r="D124" s="501">
        <v>2.6070000000000002</v>
      </c>
      <c r="E124" s="502">
        <v>0.16300000000000001</v>
      </c>
      <c r="F124" s="503">
        <v>3.6999999999999998E-2</v>
      </c>
      <c r="G124" s="508">
        <v>9.0500000000000007</v>
      </c>
      <c r="H124" s="508">
        <v>0.96</v>
      </c>
      <c r="I124" s="511">
        <v>2.02</v>
      </c>
      <c r="J124" s="499">
        <v>0.1</v>
      </c>
    </row>
    <row r="125" spans="1:11" ht="35.049999999999997" customHeight="1" x14ac:dyDescent="0.3">
      <c r="A125" s="398" t="s">
        <v>873</v>
      </c>
      <c r="B125" s="509"/>
      <c r="C125" s="512">
        <v>0</v>
      </c>
      <c r="D125" s="501">
        <v>2.6070000000000002</v>
      </c>
      <c r="E125" s="502">
        <v>0.16300000000000001</v>
      </c>
      <c r="F125" s="503">
        <v>3.6999999999999998E-2</v>
      </c>
      <c r="G125" s="508">
        <v>11.71</v>
      </c>
      <c r="H125" s="508">
        <v>0.96</v>
      </c>
      <c r="I125" s="511">
        <v>2.02</v>
      </c>
      <c r="J125" s="499">
        <v>0.1</v>
      </c>
    </row>
    <row r="126" spans="1:11" ht="35.049999999999997" customHeight="1" x14ac:dyDescent="0.3">
      <c r="A126" s="398" t="s">
        <v>874</v>
      </c>
      <c r="B126" s="509"/>
      <c r="C126" s="512">
        <v>0</v>
      </c>
      <c r="D126" s="501">
        <v>2.6070000000000002</v>
      </c>
      <c r="E126" s="502">
        <v>0.16300000000000001</v>
      </c>
      <c r="F126" s="503">
        <v>3.6999999999999998E-2</v>
      </c>
      <c r="G126" s="508">
        <v>17.34</v>
      </c>
      <c r="H126" s="508">
        <v>0.96</v>
      </c>
      <c r="I126" s="511">
        <v>2.02</v>
      </c>
      <c r="J126" s="499">
        <v>0.1</v>
      </c>
    </row>
    <row r="127" spans="1:11" ht="35.049999999999997" customHeight="1" x14ac:dyDescent="0.3">
      <c r="A127" s="398" t="s">
        <v>875</v>
      </c>
      <c r="B127" s="509"/>
      <c r="C127" s="512">
        <v>0</v>
      </c>
      <c r="D127" s="501">
        <v>2.6070000000000002</v>
      </c>
      <c r="E127" s="502">
        <v>0.16300000000000001</v>
      </c>
      <c r="F127" s="503">
        <v>3.6999999999999998E-2</v>
      </c>
      <c r="G127" s="508">
        <v>32.99</v>
      </c>
      <c r="H127" s="508">
        <v>0.96</v>
      </c>
      <c r="I127" s="511">
        <v>2.02</v>
      </c>
      <c r="J127" s="499">
        <v>0.1</v>
      </c>
    </row>
    <row r="128" spans="1:11" ht="35.049999999999997" customHeight="1" x14ac:dyDescent="0.3">
      <c r="A128" s="398" t="s">
        <v>876</v>
      </c>
      <c r="B128" s="509"/>
      <c r="C128" s="512">
        <v>0</v>
      </c>
      <c r="D128" s="501">
        <v>2.4980000000000002</v>
      </c>
      <c r="E128" s="502">
        <v>0.14199999999999999</v>
      </c>
      <c r="F128" s="503">
        <v>3.2000000000000001E-2</v>
      </c>
      <c r="G128" s="508">
        <v>4.17</v>
      </c>
      <c r="H128" s="508">
        <v>1.81</v>
      </c>
      <c r="I128" s="511">
        <v>2.37</v>
      </c>
      <c r="J128" s="499">
        <v>8.8999999999999996E-2</v>
      </c>
    </row>
    <row r="129" spans="1:10" ht="35.049999999999997" customHeight="1" x14ac:dyDescent="0.3">
      <c r="A129" s="398" t="s">
        <v>877</v>
      </c>
      <c r="B129" s="509"/>
      <c r="C129" s="512">
        <v>0</v>
      </c>
      <c r="D129" s="501">
        <v>2.4980000000000002</v>
      </c>
      <c r="E129" s="502">
        <v>0.14199999999999999</v>
      </c>
      <c r="F129" s="503">
        <v>3.2000000000000001E-2</v>
      </c>
      <c r="G129" s="508">
        <v>12.01</v>
      </c>
      <c r="H129" s="508">
        <v>1.81</v>
      </c>
      <c r="I129" s="511">
        <v>2.37</v>
      </c>
      <c r="J129" s="499">
        <v>8.8999999999999996E-2</v>
      </c>
    </row>
    <row r="130" spans="1:10" ht="35.049999999999997" customHeight="1" x14ac:dyDescent="0.3">
      <c r="A130" s="398" t="s">
        <v>878</v>
      </c>
      <c r="B130" s="509"/>
      <c r="C130" s="512">
        <v>0</v>
      </c>
      <c r="D130" s="501">
        <v>2.4980000000000002</v>
      </c>
      <c r="E130" s="502">
        <v>0.14199999999999999</v>
      </c>
      <c r="F130" s="503">
        <v>3.2000000000000001E-2</v>
      </c>
      <c r="G130" s="508">
        <v>15.9</v>
      </c>
      <c r="H130" s="508">
        <v>1.81</v>
      </c>
      <c r="I130" s="511">
        <v>2.37</v>
      </c>
      <c r="J130" s="499">
        <v>8.8999999999999996E-2</v>
      </c>
    </row>
    <row r="131" spans="1:10" ht="35.049999999999997" customHeight="1" x14ac:dyDescent="0.3">
      <c r="A131" s="398" t="s">
        <v>879</v>
      </c>
      <c r="B131" s="509"/>
      <c r="C131" s="512">
        <v>0</v>
      </c>
      <c r="D131" s="501">
        <v>2.4980000000000002</v>
      </c>
      <c r="E131" s="502">
        <v>0.14199999999999999</v>
      </c>
      <c r="F131" s="503">
        <v>3.2000000000000001E-2</v>
      </c>
      <c r="G131" s="508">
        <v>24.13</v>
      </c>
      <c r="H131" s="508">
        <v>1.81</v>
      </c>
      <c r="I131" s="511">
        <v>2.37</v>
      </c>
      <c r="J131" s="499">
        <v>8.8999999999999996E-2</v>
      </c>
    </row>
    <row r="132" spans="1:10" ht="35.049999999999997" customHeight="1" x14ac:dyDescent="0.3">
      <c r="A132" s="398" t="s">
        <v>880</v>
      </c>
      <c r="B132" s="509"/>
      <c r="C132" s="512">
        <v>0</v>
      </c>
      <c r="D132" s="501">
        <v>2.4980000000000002</v>
      </c>
      <c r="E132" s="502">
        <v>0.14199999999999999</v>
      </c>
      <c r="F132" s="503">
        <v>3.2000000000000001E-2</v>
      </c>
      <c r="G132" s="508">
        <v>47.02</v>
      </c>
      <c r="H132" s="508">
        <v>1.81</v>
      </c>
      <c r="I132" s="511">
        <v>2.37</v>
      </c>
      <c r="J132" s="499">
        <v>8.8999999999999996E-2</v>
      </c>
    </row>
    <row r="133" spans="1:10" ht="35.049999999999997" customHeight="1" x14ac:dyDescent="0.3">
      <c r="A133" s="398" t="s">
        <v>881</v>
      </c>
      <c r="B133" s="509"/>
      <c r="C133" s="512">
        <v>0</v>
      </c>
      <c r="D133" s="501">
        <v>2.234</v>
      </c>
      <c r="E133" s="502">
        <v>0.11700000000000001</v>
      </c>
      <c r="F133" s="503">
        <v>2.7E-2</v>
      </c>
      <c r="G133" s="508">
        <v>56.75</v>
      </c>
      <c r="H133" s="508">
        <v>1.67</v>
      </c>
      <c r="I133" s="511">
        <v>2.33</v>
      </c>
      <c r="J133" s="499">
        <v>7.8E-2</v>
      </c>
    </row>
    <row r="134" spans="1:10" ht="35.049999999999997" customHeight="1" x14ac:dyDescent="0.3">
      <c r="A134" s="398" t="s">
        <v>882</v>
      </c>
      <c r="B134" s="509"/>
      <c r="C134" s="512">
        <v>0</v>
      </c>
      <c r="D134" s="501">
        <v>2.234</v>
      </c>
      <c r="E134" s="502">
        <v>0.11700000000000001</v>
      </c>
      <c r="F134" s="503">
        <v>2.7E-2</v>
      </c>
      <c r="G134" s="508">
        <v>111.23</v>
      </c>
      <c r="H134" s="508">
        <v>1.67</v>
      </c>
      <c r="I134" s="511">
        <v>2.33</v>
      </c>
      <c r="J134" s="499">
        <v>7.8E-2</v>
      </c>
    </row>
    <row r="135" spans="1:10" ht="35.049999999999997" customHeight="1" x14ac:dyDescent="0.3">
      <c r="A135" s="398" t="s">
        <v>883</v>
      </c>
      <c r="B135" s="509"/>
      <c r="C135" s="512">
        <v>0</v>
      </c>
      <c r="D135" s="501">
        <v>2.234</v>
      </c>
      <c r="E135" s="502">
        <v>0.11700000000000001</v>
      </c>
      <c r="F135" s="503">
        <v>2.7E-2</v>
      </c>
      <c r="G135" s="508">
        <v>193.98</v>
      </c>
      <c r="H135" s="508">
        <v>1.67</v>
      </c>
      <c r="I135" s="511">
        <v>2.33</v>
      </c>
      <c r="J135" s="499">
        <v>7.8E-2</v>
      </c>
    </row>
    <row r="136" spans="1:10" ht="35.049999999999997" customHeight="1" x14ac:dyDescent="0.3">
      <c r="A136" s="398" t="s">
        <v>884</v>
      </c>
      <c r="B136" s="509"/>
      <c r="C136" s="512">
        <v>0</v>
      </c>
      <c r="D136" s="501">
        <v>2.234</v>
      </c>
      <c r="E136" s="502">
        <v>0.11700000000000001</v>
      </c>
      <c r="F136" s="503">
        <v>2.7E-2</v>
      </c>
      <c r="G136" s="508">
        <v>337.68</v>
      </c>
      <c r="H136" s="508">
        <v>1.67</v>
      </c>
      <c r="I136" s="511">
        <v>2.33</v>
      </c>
      <c r="J136" s="499">
        <v>7.8E-2</v>
      </c>
    </row>
    <row r="137" spans="1:10" ht="35.049999999999997" customHeight="1" x14ac:dyDescent="0.3">
      <c r="A137" s="398" t="s">
        <v>885</v>
      </c>
      <c r="B137" s="509"/>
      <c r="C137" s="512">
        <v>0</v>
      </c>
      <c r="D137" s="501">
        <v>2.234</v>
      </c>
      <c r="E137" s="502">
        <v>0.11700000000000001</v>
      </c>
      <c r="F137" s="503">
        <v>2.7E-2</v>
      </c>
      <c r="G137" s="508">
        <v>743.53</v>
      </c>
      <c r="H137" s="508">
        <v>1.67</v>
      </c>
      <c r="I137" s="511">
        <v>2.33</v>
      </c>
      <c r="J137" s="499">
        <v>7.8E-2</v>
      </c>
    </row>
    <row r="138" spans="1:10" ht="35.049999999999997" customHeight="1" x14ac:dyDescent="0.3">
      <c r="A138" s="398" t="s">
        <v>591</v>
      </c>
      <c r="B138" s="509"/>
      <c r="C138" s="512" t="s">
        <v>616</v>
      </c>
      <c r="D138" s="504">
        <v>9.7059999999999995</v>
      </c>
      <c r="E138" s="505">
        <v>0.42899999999999999</v>
      </c>
      <c r="F138" s="503">
        <v>0.28599999999999998</v>
      </c>
      <c r="G138" s="509"/>
      <c r="H138" s="509"/>
      <c r="I138" s="510"/>
      <c r="J138" s="500"/>
    </row>
    <row r="139" spans="1:10" ht="35.049999999999997" customHeight="1" x14ac:dyDescent="0.3">
      <c r="A139" s="398" t="s">
        <v>701</v>
      </c>
      <c r="B139" s="509"/>
      <c r="C139" s="512">
        <v>0</v>
      </c>
      <c r="D139" s="501">
        <v>-3.444</v>
      </c>
      <c r="E139" s="502">
        <v>-0.22600000000000001</v>
      </c>
      <c r="F139" s="503">
        <v>-5.0999999999999997E-2</v>
      </c>
      <c r="G139" s="508">
        <v>0</v>
      </c>
      <c r="H139" s="509"/>
      <c r="I139" s="510"/>
      <c r="J139" s="500"/>
    </row>
    <row r="140" spans="1:10" ht="35.049999999999997" customHeight="1" x14ac:dyDescent="0.3">
      <c r="A140" s="398" t="s">
        <v>702</v>
      </c>
      <c r="B140" s="509"/>
      <c r="C140" s="512">
        <v>0</v>
      </c>
      <c r="D140" s="501">
        <v>-3.339</v>
      </c>
      <c r="E140" s="502">
        <v>-0.21299999999999999</v>
      </c>
      <c r="F140" s="503">
        <v>-4.8000000000000001E-2</v>
      </c>
      <c r="G140" s="508">
        <v>0</v>
      </c>
      <c r="H140" s="509"/>
      <c r="I140" s="510"/>
      <c r="J140" s="500"/>
    </row>
    <row r="141" spans="1:10" ht="35.049999999999997" customHeight="1" x14ac:dyDescent="0.3">
      <c r="A141" s="398" t="s">
        <v>703</v>
      </c>
      <c r="B141" s="509"/>
      <c r="C141" s="512">
        <v>0</v>
      </c>
      <c r="D141" s="501">
        <v>-3.444</v>
      </c>
      <c r="E141" s="502">
        <v>-0.22600000000000001</v>
      </c>
      <c r="F141" s="503">
        <v>-5.0999999999999997E-2</v>
      </c>
      <c r="G141" s="508">
        <v>0</v>
      </c>
      <c r="H141" s="509"/>
      <c r="I141" s="510"/>
      <c r="J141" s="499">
        <v>0.124</v>
      </c>
    </row>
    <row r="142" spans="1:10" ht="35.049999999999997" customHeight="1" x14ac:dyDescent="0.3">
      <c r="A142" s="398" t="s">
        <v>704</v>
      </c>
      <c r="B142" s="509"/>
      <c r="C142" s="512">
        <v>0</v>
      </c>
      <c r="D142" s="501">
        <v>-3.339</v>
      </c>
      <c r="E142" s="502">
        <v>-0.21299999999999999</v>
      </c>
      <c r="F142" s="503">
        <v>-4.8000000000000001E-2</v>
      </c>
      <c r="G142" s="508">
        <v>0</v>
      </c>
      <c r="H142" s="509"/>
      <c r="I142" s="510"/>
      <c r="J142" s="499">
        <v>0.11799999999999999</v>
      </c>
    </row>
    <row r="143" spans="1:10" ht="35.049999999999997" customHeight="1" x14ac:dyDescent="0.3">
      <c r="A143" s="398" t="s">
        <v>705</v>
      </c>
      <c r="B143" s="509"/>
      <c r="C143" s="512">
        <v>0</v>
      </c>
      <c r="D143" s="501">
        <v>-3.3340000000000001</v>
      </c>
      <c r="E143" s="502">
        <v>-0.187</v>
      </c>
      <c r="F143" s="503">
        <v>-4.2000000000000003E-2</v>
      </c>
      <c r="G143" s="508">
        <v>5.97</v>
      </c>
      <c r="H143" s="509"/>
      <c r="I143" s="510"/>
      <c r="J143" s="499">
        <v>0.13100000000000001</v>
      </c>
    </row>
    <row r="144" spans="1:10" ht="35.049999999999997" customHeight="1" x14ac:dyDescent="0.3">
      <c r="A144" s="398" t="s">
        <v>886</v>
      </c>
      <c r="B144" s="509"/>
      <c r="C144" s="512" t="s">
        <v>639</v>
      </c>
      <c r="D144" s="501">
        <v>2.7589999999999999</v>
      </c>
      <c r="E144" s="502">
        <v>0.18099999999999999</v>
      </c>
      <c r="F144" s="503">
        <v>4.1000000000000002E-2</v>
      </c>
      <c r="G144" s="508">
        <v>1.2</v>
      </c>
      <c r="H144" s="509"/>
      <c r="I144" s="510"/>
      <c r="J144" s="500"/>
    </row>
    <row r="145" spans="1:10" ht="35.049999999999997" customHeight="1" x14ac:dyDescent="0.3">
      <c r="A145" s="398" t="s">
        <v>887</v>
      </c>
      <c r="B145" s="509"/>
      <c r="C145" s="512" t="s">
        <v>575</v>
      </c>
      <c r="D145" s="501">
        <v>2.7589999999999999</v>
      </c>
      <c r="E145" s="502">
        <v>0.18099999999999999</v>
      </c>
      <c r="F145" s="503">
        <v>4.1000000000000002E-2</v>
      </c>
      <c r="G145" s="509"/>
      <c r="H145" s="509"/>
      <c r="I145" s="510"/>
      <c r="J145" s="500"/>
    </row>
    <row r="146" spans="1:10" ht="35.049999999999997" customHeight="1" x14ac:dyDescent="0.3">
      <c r="A146" s="398" t="s">
        <v>888</v>
      </c>
      <c r="B146" s="509"/>
      <c r="C146" s="512" t="s">
        <v>640</v>
      </c>
      <c r="D146" s="501">
        <v>2.6419999999999999</v>
      </c>
      <c r="E146" s="502">
        <v>0.17299999999999999</v>
      </c>
      <c r="F146" s="503">
        <v>3.9E-2</v>
      </c>
      <c r="G146" s="508">
        <v>0.98</v>
      </c>
      <c r="H146" s="509"/>
      <c r="I146" s="510"/>
      <c r="J146" s="500"/>
    </row>
    <row r="147" spans="1:10" ht="35.049999999999997" customHeight="1" x14ac:dyDescent="0.3">
      <c r="A147" s="398" t="s">
        <v>889</v>
      </c>
      <c r="B147" s="509"/>
      <c r="C147" s="512" t="s">
        <v>640</v>
      </c>
      <c r="D147" s="501">
        <v>2.6419999999999999</v>
      </c>
      <c r="E147" s="502">
        <v>0.17299999999999999</v>
      </c>
      <c r="F147" s="503">
        <v>3.9E-2</v>
      </c>
      <c r="G147" s="508">
        <v>1.04</v>
      </c>
      <c r="H147" s="509"/>
      <c r="I147" s="510"/>
      <c r="J147" s="500"/>
    </row>
    <row r="148" spans="1:10" ht="35.049999999999997" customHeight="1" x14ac:dyDescent="0.3">
      <c r="A148" s="398" t="s">
        <v>890</v>
      </c>
      <c r="B148" s="509"/>
      <c r="C148" s="512" t="s">
        <v>640</v>
      </c>
      <c r="D148" s="501">
        <v>2.6419999999999999</v>
      </c>
      <c r="E148" s="502">
        <v>0.17299999999999999</v>
      </c>
      <c r="F148" s="503">
        <v>3.9E-2</v>
      </c>
      <c r="G148" s="508">
        <v>1.3</v>
      </c>
      <c r="H148" s="509"/>
      <c r="I148" s="510"/>
      <c r="J148" s="500"/>
    </row>
    <row r="149" spans="1:10" ht="35.049999999999997" customHeight="1" x14ac:dyDescent="0.3">
      <c r="A149" s="398" t="s">
        <v>891</v>
      </c>
      <c r="B149" s="509"/>
      <c r="C149" s="512" t="s">
        <v>640</v>
      </c>
      <c r="D149" s="501">
        <v>2.6419999999999999</v>
      </c>
      <c r="E149" s="502">
        <v>0.17299999999999999</v>
      </c>
      <c r="F149" s="503">
        <v>3.9E-2</v>
      </c>
      <c r="G149" s="508">
        <v>1.78</v>
      </c>
      <c r="H149" s="509"/>
      <c r="I149" s="510"/>
      <c r="J149" s="500"/>
    </row>
    <row r="150" spans="1:10" ht="35.049999999999997" customHeight="1" x14ac:dyDescent="0.3">
      <c r="A150" s="398" t="s">
        <v>892</v>
      </c>
      <c r="B150" s="509"/>
      <c r="C150" s="512" t="s">
        <v>640</v>
      </c>
      <c r="D150" s="501">
        <v>2.6419999999999999</v>
      </c>
      <c r="E150" s="502">
        <v>0.17299999999999999</v>
      </c>
      <c r="F150" s="503">
        <v>3.9E-2</v>
      </c>
      <c r="G150" s="508">
        <v>3.44</v>
      </c>
      <c r="H150" s="509"/>
      <c r="I150" s="510"/>
      <c r="J150" s="500"/>
    </row>
    <row r="151" spans="1:10" ht="35.049999999999997" customHeight="1" x14ac:dyDescent="0.3">
      <c r="A151" s="398" t="s">
        <v>592</v>
      </c>
      <c r="B151" s="509"/>
      <c r="C151" s="512" t="s">
        <v>577</v>
      </c>
      <c r="D151" s="501">
        <v>2.6419999999999999</v>
      </c>
      <c r="E151" s="502">
        <v>0.17299999999999999</v>
      </c>
      <c r="F151" s="503">
        <v>3.9E-2</v>
      </c>
      <c r="G151" s="509"/>
      <c r="H151" s="509"/>
      <c r="I151" s="510"/>
      <c r="J151" s="500"/>
    </row>
    <row r="152" spans="1:10" ht="35.049999999999997" customHeight="1" x14ac:dyDescent="0.3">
      <c r="A152" s="398" t="s">
        <v>893</v>
      </c>
      <c r="B152" s="509"/>
      <c r="C152" s="512">
        <v>0</v>
      </c>
      <c r="D152" s="501">
        <v>1.857</v>
      </c>
      <c r="E152" s="502">
        <v>0.11600000000000001</v>
      </c>
      <c r="F152" s="503">
        <v>2.5999999999999999E-2</v>
      </c>
      <c r="G152" s="508">
        <v>2.67</v>
      </c>
      <c r="H152" s="508">
        <v>0.68</v>
      </c>
      <c r="I152" s="511">
        <v>1.44</v>
      </c>
      <c r="J152" s="499">
        <v>7.1999999999999995E-2</v>
      </c>
    </row>
    <row r="153" spans="1:10" ht="35.049999999999997" customHeight="1" x14ac:dyDescent="0.3">
      <c r="A153" s="398" t="s">
        <v>894</v>
      </c>
      <c r="B153" s="509"/>
      <c r="C153" s="512">
        <v>0</v>
      </c>
      <c r="D153" s="501">
        <v>1.857</v>
      </c>
      <c r="E153" s="502">
        <v>0.11600000000000001</v>
      </c>
      <c r="F153" s="503">
        <v>2.5999999999999999E-2</v>
      </c>
      <c r="G153" s="508">
        <v>6.48</v>
      </c>
      <c r="H153" s="508">
        <v>0.68</v>
      </c>
      <c r="I153" s="511">
        <v>1.44</v>
      </c>
      <c r="J153" s="499">
        <v>7.1999999999999995E-2</v>
      </c>
    </row>
    <row r="154" spans="1:10" ht="35.049999999999997" customHeight="1" x14ac:dyDescent="0.3">
      <c r="A154" s="398" t="s">
        <v>895</v>
      </c>
      <c r="B154" s="509"/>
      <c r="C154" s="512">
        <v>0</v>
      </c>
      <c r="D154" s="501">
        <v>1.857</v>
      </c>
      <c r="E154" s="502">
        <v>0.11600000000000001</v>
      </c>
      <c r="F154" s="503">
        <v>2.5999999999999999E-2</v>
      </c>
      <c r="G154" s="508">
        <v>8.3800000000000008</v>
      </c>
      <c r="H154" s="508">
        <v>0.68</v>
      </c>
      <c r="I154" s="511">
        <v>1.44</v>
      </c>
      <c r="J154" s="499">
        <v>7.1999999999999995E-2</v>
      </c>
    </row>
    <row r="155" spans="1:10" ht="35.049999999999997" customHeight="1" x14ac:dyDescent="0.3">
      <c r="A155" s="398" t="s">
        <v>896</v>
      </c>
      <c r="B155" s="509"/>
      <c r="C155" s="512">
        <v>0</v>
      </c>
      <c r="D155" s="501">
        <v>1.857</v>
      </c>
      <c r="E155" s="502">
        <v>0.11600000000000001</v>
      </c>
      <c r="F155" s="503">
        <v>2.5999999999999999E-2</v>
      </c>
      <c r="G155" s="508">
        <v>12.39</v>
      </c>
      <c r="H155" s="508">
        <v>0.68</v>
      </c>
      <c r="I155" s="511">
        <v>1.44</v>
      </c>
      <c r="J155" s="499">
        <v>7.1999999999999995E-2</v>
      </c>
    </row>
    <row r="156" spans="1:10" ht="35.049999999999997" customHeight="1" x14ac:dyDescent="0.3">
      <c r="A156" s="398" t="s">
        <v>897</v>
      </c>
      <c r="B156" s="509"/>
      <c r="C156" s="512">
        <v>0</v>
      </c>
      <c r="D156" s="501">
        <v>1.857</v>
      </c>
      <c r="E156" s="502">
        <v>0.11600000000000001</v>
      </c>
      <c r="F156" s="503">
        <v>2.5999999999999999E-2</v>
      </c>
      <c r="G156" s="508">
        <v>23.53</v>
      </c>
      <c r="H156" s="508">
        <v>0.68</v>
      </c>
      <c r="I156" s="511">
        <v>1.44</v>
      </c>
      <c r="J156" s="499">
        <v>7.1999999999999995E-2</v>
      </c>
    </row>
    <row r="157" spans="1:10" ht="35.049999999999997" customHeight="1" x14ac:dyDescent="0.3">
      <c r="A157" s="398" t="s">
        <v>898</v>
      </c>
      <c r="B157" s="509"/>
      <c r="C157" s="512">
        <v>0</v>
      </c>
      <c r="D157" s="501">
        <v>1.7789999999999999</v>
      </c>
      <c r="E157" s="502">
        <v>0.10100000000000001</v>
      </c>
      <c r="F157" s="503">
        <v>2.3E-2</v>
      </c>
      <c r="G157" s="508">
        <v>3.01</v>
      </c>
      <c r="H157" s="508">
        <v>1.29</v>
      </c>
      <c r="I157" s="511">
        <v>1.69</v>
      </c>
      <c r="J157" s="499">
        <v>6.3E-2</v>
      </c>
    </row>
    <row r="158" spans="1:10" ht="35.049999999999997" customHeight="1" x14ac:dyDescent="0.3">
      <c r="A158" s="398" t="s">
        <v>899</v>
      </c>
      <c r="B158" s="509"/>
      <c r="C158" s="512">
        <v>0</v>
      </c>
      <c r="D158" s="501">
        <v>1.7789999999999999</v>
      </c>
      <c r="E158" s="502">
        <v>0.10100000000000001</v>
      </c>
      <c r="F158" s="503">
        <v>2.3E-2</v>
      </c>
      <c r="G158" s="508">
        <v>8.59</v>
      </c>
      <c r="H158" s="508">
        <v>1.29</v>
      </c>
      <c r="I158" s="511">
        <v>1.69</v>
      </c>
      <c r="J158" s="499">
        <v>6.3E-2</v>
      </c>
    </row>
    <row r="159" spans="1:10" ht="35.049999999999997" customHeight="1" x14ac:dyDescent="0.3">
      <c r="A159" s="398" t="s">
        <v>900</v>
      </c>
      <c r="B159" s="509"/>
      <c r="C159" s="512">
        <v>0</v>
      </c>
      <c r="D159" s="501">
        <v>1.7789999999999999</v>
      </c>
      <c r="E159" s="502">
        <v>0.10100000000000001</v>
      </c>
      <c r="F159" s="503">
        <v>2.3E-2</v>
      </c>
      <c r="G159" s="508">
        <v>11.36</v>
      </c>
      <c r="H159" s="508">
        <v>1.29</v>
      </c>
      <c r="I159" s="511">
        <v>1.69</v>
      </c>
      <c r="J159" s="499">
        <v>6.3E-2</v>
      </c>
    </row>
    <row r="160" spans="1:10" ht="35.049999999999997" customHeight="1" x14ac:dyDescent="0.3">
      <c r="A160" s="398" t="s">
        <v>901</v>
      </c>
      <c r="B160" s="509"/>
      <c r="C160" s="512">
        <v>0</v>
      </c>
      <c r="D160" s="501">
        <v>1.7789999999999999</v>
      </c>
      <c r="E160" s="502">
        <v>0.10100000000000001</v>
      </c>
      <c r="F160" s="503">
        <v>2.3E-2</v>
      </c>
      <c r="G160" s="508">
        <v>17.23</v>
      </c>
      <c r="H160" s="508">
        <v>1.29</v>
      </c>
      <c r="I160" s="511">
        <v>1.69</v>
      </c>
      <c r="J160" s="499">
        <v>6.3E-2</v>
      </c>
    </row>
    <row r="161" spans="1:10" ht="35.049999999999997" customHeight="1" x14ac:dyDescent="0.3">
      <c r="A161" s="398" t="s">
        <v>902</v>
      </c>
      <c r="B161" s="509"/>
      <c r="C161" s="512">
        <v>0</v>
      </c>
      <c r="D161" s="501">
        <v>1.7789999999999999</v>
      </c>
      <c r="E161" s="502">
        <v>0.10100000000000001</v>
      </c>
      <c r="F161" s="503">
        <v>2.3E-2</v>
      </c>
      <c r="G161" s="508">
        <v>33.53</v>
      </c>
      <c r="H161" s="508">
        <v>1.29</v>
      </c>
      <c r="I161" s="511">
        <v>1.69</v>
      </c>
      <c r="J161" s="499">
        <v>6.3E-2</v>
      </c>
    </row>
    <row r="162" spans="1:10" ht="35.049999999999997" customHeight="1" x14ac:dyDescent="0.3">
      <c r="A162" s="398" t="s">
        <v>903</v>
      </c>
      <c r="B162" s="509"/>
      <c r="C162" s="512">
        <v>0</v>
      </c>
      <c r="D162" s="501">
        <v>1.591</v>
      </c>
      <c r="E162" s="502">
        <v>8.3000000000000004E-2</v>
      </c>
      <c r="F162" s="503">
        <v>1.9E-2</v>
      </c>
      <c r="G162" s="508">
        <v>40.46</v>
      </c>
      <c r="H162" s="508">
        <v>1.19</v>
      </c>
      <c r="I162" s="511">
        <v>1.66</v>
      </c>
      <c r="J162" s="499">
        <v>5.5E-2</v>
      </c>
    </row>
    <row r="163" spans="1:10" ht="35.049999999999997" customHeight="1" x14ac:dyDescent="0.3">
      <c r="A163" s="398" t="s">
        <v>904</v>
      </c>
      <c r="B163" s="509"/>
      <c r="C163" s="512">
        <v>0</v>
      </c>
      <c r="D163" s="501">
        <v>1.591</v>
      </c>
      <c r="E163" s="502">
        <v>8.3000000000000004E-2</v>
      </c>
      <c r="F163" s="503">
        <v>1.9E-2</v>
      </c>
      <c r="G163" s="508">
        <v>79.260000000000005</v>
      </c>
      <c r="H163" s="508">
        <v>1.19</v>
      </c>
      <c r="I163" s="511">
        <v>1.66</v>
      </c>
      <c r="J163" s="499">
        <v>5.5E-2</v>
      </c>
    </row>
    <row r="164" spans="1:10" ht="35.049999999999997" customHeight="1" x14ac:dyDescent="0.3">
      <c r="A164" s="398" t="s">
        <v>905</v>
      </c>
      <c r="B164" s="509"/>
      <c r="C164" s="512">
        <v>0</v>
      </c>
      <c r="D164" s="501">
        <v>1.591</v>
      </c>
      <c r="E164" s="502">
        <v>8.3000000000000004E-2</v>
      </c>
      <c r="F164" s="503">
        <v>1.9E-2</v>
      </c>
      <c r="G164" s="508">
        <v>138.19</v>
      </c>
      <c r="H164" s="508">
        <v>1.19</v>
      </c>
      <c r="I164" s="511">
        <v>1.66</v>
      </c>
      <c r="J164" s="499">
        <v>5.5E-2</v>
      </c>
    </row>
    <row r="165" spans="1:10" ht="35.049999999999997" customHeight="1" x14ac:dyDescent="0.3">
      <c r="A165" s="398" t="s">
        <v>906</v>
      </c>
      <c r="B165" s="509"/>
      <c r="C165" s="512">
        <v>0</v>
      </c>
      <c r="D165" s="501">
        <v>1.591</v>
      </c>
      <c r="E165" s="502">
        <v>8.3000000000000004E-2</v>
      </c>
      <c r="F165" s="503">
        <v>1.9E-2</v>
      </c>
      <c r="G165" s="508">
        <v>240.53</v>
      </c>
      <c r="H165" s="508">
        <v>1.19</v>
      </c>
      <c r="I165" s="511">
        <v>1.66</v>
      </c>
      <c r="J165" s="499">
        <v>5.5E-2</v>
      </c>
    </row>
    <row r="166" spans="1:10" ht="35.049999999999997" customHeight="1" x14ac:dyDescent="0.3">
      <c r="A166" s="398" t="s">
        <v>907</v>
      </c>
      <c r="B166" s="509"/>
      <c r="C166" s="512">
        <v>0</v>
      </c>
      <c r="D166" s="501">
        <v>1.591</v>
      </c>
      <c r="E166" s="502">
        <v>8.3000000000000004E-2</v>
      </c>
      <c r="F166" s="503">
        <v>1.9E-2</v>
      </c>
      <c r="G166" s="508">
        <v>529.57000000000005</v>
      </c>
      <c r="H166" s="508">
        <v>1.19</v>
      </c>
      <c r="I166" s="511">
        <v>1.66</v>
      </c>
      <c r="J166" s="499">
        <v>5.5E-2</v>
      </c>
    </row>
    <row r="167" spans="1:10" ht="35.049999999999997" customHeight="1" x14ac:dyDescent="0.3">
      <c r="A167" s="398" t="s">
        <v>593</v>
      </c>
      <c r="B167" s="509"/>
      <c r="C167" s="512" t="s">
        <v>616</v>
      </c>
      <c r="D167" s="504">
        <v>6.9119999999999999</v>
      </c>
      <c r="E167" s="505">
        <v>0.30599999999999999</v>
      </c>
      <c r="F167" s="503">
        <v>0.20399999999999999</v>
      </c>
      <c r="G167" s="509"/>
      <c r="H167" s="509"/>
      <c r="I167" s="510"/>
      <c r="J167" s="500"/>
    </row>
    <row r="168" spans="1:10" ht="35.049999999999997" customHeight="1" x14ac:dyDescent="0.3">
      <c r="A168" s="398" t="s">
        <v>706</v>
      </c>
      <c r="B168" s="509"/>
      <c r="C168" s="512">
        <v>0</v>
      </c>
      <c r="D168" s="501">
        <v>-2.4529999999999998</v>
      </c>
      <c r="E168" s="502">
        <v>-0.161</v>
      </c>
      <c r="F168" s="503">
        <v>-3.6999999999999998E-2</v>
      </c>
      <c r="G168" s="508">
        <v>0</v>
      </c>
      <c r="H168" s="509"/>
      <c r="I168" s="510"/>
      <c r="J168" s="500"/>
    </row>
    <row r="169" spans="1:10" ht="35.049999999999997" customHeight="1" x14ac:dyDescent="0.3">
      <c r="A169" s="398" t="s">
        <v>707</v>
      </c>
      <c r="B169" s="509"/>
      <c r="C169" s="512">
        <v>0</v>
      </c>
      <c r="D169" s="501">
        <v>-2.3780000000000001</v>
      </c>
      <c r="E169" s="502">
        <v>-0.151</v>
      </c>
      <c r="F169" s="503">
        <v>-3.4000000000000002E-2</v>
      </c>
      <c r="G169" s="508">
        <v>0</v>
      </c>
      <c r="H169" s="509"/>
      <c r="I169" s="510"/>
      <c r="J169" s="500"/>
    </row>
    <row r="170" spans="1:10" ht="35.049999999999997" customHeight="1" x14ac:dyDescent="0.3">
      <c r="A170" s="398" t="s">
        <v>708</v>
      </c>
      <c r="B170" s="509"/>
      <c r="C170" s="512">
        <v>0</v>
      </c>
      <c r="D170" s="501">
        <v>-2.4529999999999998</v>
      </c>
      <c r="E170" s="502">
        <v>-0.161</v>
      </c>
      <c r="F170" s="503">
        <v>-3.6999999999999998E-2</v>
      </c>
      <c r="G170" s="508">
        <v>0</v>
      </c>
      <c r="H170" s="509"/>
      <c r="I170" s="510"/>
      <c r="J170" s="499">
        <v>8.7999999999999995E-2</v>
      </c>
    </row>
    <row r="171" spans="1:10" ht="35.049999999999997" customHeight="1" x14ac:dyDescent="0.3">
      <c r="A171" s="398" t="s">
        <v>709</v>
      </c>
      <c r="B171" s="509"/>
      <c r="C171" s="512">
        <v>0</v>
      </c>
      <c r="D171" s="501">
        <v>-2.3780000000000001</v>
      </c>
      <c r="E171" s="502">
        <v>-0.151</v>
      </c>
      <c r="F171" s="503">
        <v>-3.4000000000000002E-2</v>
      </c>
      <c r="G171" s="508">
        <v>0</v>
      </c>
      <c r="H171" s="509"/>
      <c r="I171" s="510"/>
      <c r="J171" s="499">
        <v>8.4000000000000005E-2</v>
      </c>
    </row>
    <row r="172" spans="1:10" ht="35.049999999999997" customHeight="1" x14ac:dyDescent="0.3">
      <c r="A172" s="398" t="s">
        <v>710</v>
      </c>
      <c r="B172" s="509"/>
      <c r="C172" s="512">
        <v>0</v>
      </c>
      <c r="D172" s="501">
        <v>-2.3740000000000001</v>
      </c>
      <c r="E172" s="502">
        <v>-0.13300000000000001</v>
      </c>
      <c r="F172" s="503">
        <v>-0.03</v>
      </c>
      <c r="G172" s="508">
        <v>4.25</v>
      </c>
      <c r="H172" s="509"/>
      <c r="I172" s="510"/>
      <c r="J172" s="499">
        <v>9.2999999999999999E-2</v>
      </c>
    </row>
    <row r="173" spans="1:10" ht="35.049999999999997" customHeight="1" x14ac:dyDescent="0.3">
      <c r="A173" s="398" t="s">
        <v>908</v>
      </c>
      <c r="B173" s="509"/>
      <c r="C173" s="512" t="s">
        <v>639</v>
      </c>
      <c r="D173" s="501">
        <v>0.98099999999999998</v>
      </c>
      <c r="E173" s="502">
        <v>6.4000000000000001E-2</v>
      </c>
      <c r="F173" s="503">
        <v>1.4999999999999999E-2</v>
      </c>
      <c r="G173" s="508">
        <v>0.57999999999999996</v>
      </c>
      <c r="H173" s="509"/>
      <c r="I173" s="510"/>
      <c r="J173" s="500"/>
    </row>
    <row r="174" spans="1:10" ht="35.049999999999997" customHeight="1" x14ac:dyDescent="0.3">
      <c r="A174" s="398" t="s">
        <v>909</v>
      </c>
      <c r="B174" s="509"/>
      <c r="C174" s="512" t="s">
        <v>575</v>
      </c>
      <c r="D174" s="501">
        <v>0.98099999999999998</v>
      </c>
      <c r="E174" s="502">
        <v>6.4000000000000001E-2</v>
      </c>
      <c r="F174" s="503">
        <v>1.4999999999999999E-2</v>
      </c>
      <c r="G174" s="509"/>
      <c r="H174" s="509"/>
      <c r="I174" s="510"/>
      <c r="J174" s="500"/>
    </row>
    <row r="175" spans="1:10" ht="35.049999999999997" customHeight="1" x14ac:dyDescent="0.3">
      <c r="A175" s="398" t="s">
        <v>910</v>
      </c>
      <c r="B175" s="509"/>
      <c r="C175" s="512" t="s">
        <v>640</v>
      </c>
      <c r="D175" s="501">
        <v>0.94</v>
      </c>
      <c r="E175" s="502">
        <v>6.2E-2</v>
      </c>
      <c r="F175" s="503">
        <v>1.4E-2</v>
      </c>
      <c r="G175" s="508">
        <v>0.44</v>
      </c>
      <c r="H175" s="509"/>
      <c r="I175" s="510"/>
      <c r="J175" s="500"/>
    </row>
    <row r="176" spans="1:10" ht="35.049999999999997" customHeight="1" x14ac:dyDescent="0.3">
      <c r="A176" s="398" t="s">
        <v>911</v>
      </c>
      <c r="B176" s="509"/>
      <c r="C176" s="512" t="s">
        <v>640</v>
      </c>
      <c r="D176" s="501">
        <v>0.94</v>
      </c>
      <c r="E176" s="502">
        <v>6.2E-2</v>
      </c>
      <c r="F176" s="503">
        <v>1.4E-2</v>
      </c>
      <c r="G176" s="508">
        <v>0.46</v>
      </c>
      <c r="H176" s="509"/>
      <c r="I176" s="510"/>
      <c r="J176" s="500"/>
    </row>
    <row r="177" spans="1:10" ht="35.049999999999997" customHeight="1" x14ac:dyDescent="0.3">
      <c r="A177" s="398" t="s">
        <v>912</v>
      </c>
      <c r="B177" s="509"/>
      <c r="C177" s="512" t="s">
        <v>640</v>
      </c>
      <c r="D177" s="501">
        <v>0.94</v>
      </c>
      <c r="E177" s="502">
        <v>6.2E-2</v>
      </c>
      <c r="F177" s="503">
        <v>1.4E-2</v>
      </c>
      <c r="G177" s="508">
        <v>0.55000000000000004</v>
      </c>
      <c r="H177" s="509"/>
      <c r="I177" s="510"/>
      <c r="J177" s="500"/>
    </row>
    <row r="178" spans="1:10" ht="35.049999999999997" customHeight="1" x14ac:dyDescent="0.3">
      <c r="A178" s="398" t="s">
        <v>913</v>
      </c>
      <c r="B178" s="509"/>
      <c r="C178" s="512" t="s">
        <v>640</v>
      </c>
      <c r="D178" s="501">
        <v>0.94</v>
      </c>
      <c r="E178" s="502">
        <v>6.2E-2</v>
      </c>
      <c r="F178" s="503">
        <v>1.4E-2</v>
      </c>
      <c r="G178" s="508">
        <v>0.72</v>
      </c>
      <c r="H178" s="509"/>
      <c r="I178" s="510"/>
      <c r="J178" s="500"/>
    </row>
    <row r="179" spans="1:10" ht="35.049999999999997" customHeight="1" x14ac:dyDescent="0.3">
      <c r="A179" s="398" t="s">
        <v>914</v>
      </c>
      <c r="B179" s="509"/>
      <c r="C179" s="512" t="s">
        <v>640</v>
      </c>
      <c r="D179" s="501">
        <v>0.94</v>
      </c>
      <c r="E179" s="502">
        <v>6.2E-2</v>
      </c>
      <c r="F179" s="503">
        <v>1.4E-2</v>
      </c>
      <c r="G179" s="508">
        <v>1.32</v>
      </c>
      <c r="H179" s="509"/>
      <c r="I179" s="510"/>
      <c r="J179" s="500"/>
    </row>
    <row r="180" spans="1:10" ht="35.049999999999997" customHeight="1" x14ac:dyDescent="0.3">
      <c r="A180" s="398" t="s">
        <v>594</v>
      </c>
      <c r="B180" s="509"/>
      <c r="C180" s="512" t="s">
        <v>577</v>
      </c>
      <c r="D180" s="501">
        <v>0.94</v>
      </c>
      <c r="E180" s="502">
        <v>6.2E-2</v>
      </c>
      <c r="F180" s="503">
        <v>1.4E-2</v>
      </c>
      <c r="G180" s="509"/>
      <c r="H180" s="509"/>
      <c r="I180" s="510"/>
      <c r="J180" s="500"/>
    </row>
    <row r="181" spans="1:10" ht="35.049999999999997" customHeight="1" x14ac:dyDescent="0.3">
      <c r="A181" s="398" t="s">
        <v>915</v>
      </c>
      <c r="B181" s="509"/>
      <c r="C181" s="512">
        <v>0</v>
      </c>
      <c r="D181" s="501">
        <v>0.66</v>
      </c>
      <c r="E181" s="502">
        <v>4.1000000000000002E-2</v>
      </c>
      <c r="F181" s="503">
        <v>8.9999999999999993E-3</v>
      </c>
      <c r="G181" s="508">
        <v>1.04</v>
      </c>
      <c r="H181" s="508">
        <v>0.24</v>
      </c>
      <c r="I181" s="511">
        <v>0.51</v>
      </c>
      <c r="J181" s="499">
        <v>2.5000000000000001E-2</v>
      </c>
    </row>
    <row r="182" spans="1:10" ht="35.049999999999997" customHeight="1" x14ac:dyDescent="0.3">
      <c r="A182" s="398" t="s">
        <v>916</v>
      </c>
      <c r="B182" s="509"/>
      <c r="C182" s="512">
        <v>0</v>
      </c>
      <c r="D182" s="501">
        <v>0.66</v>
      </c>
      <c r="E182" s="502">
        <v>4.1000000000000002E-2</v>
      </c>
      <c r="F182" s="503">
        <v>8.9999999999999993E-3</v>
      </c>
      <c r="G182" s="508">
        <v>2.4</v>
      </c>
      <c r="H182" s="508">
        <v>0.24</v>
      </c>
      <c r="I182" s="511">
        <v>0.51</v>
      </c>
      <c r="J182" s="499">
        <v>2.5000000000000001E-2</v>
      </c>
    </row>
    <row r="183" spans="1:10" ht="35.049999999999997" customHeight="1" x14ac:dyDescent="0.3">
      <c r="A183" s="398" t="s">
        <v>917</v>
      </c>
      <c r="B183" s="509"/>
      <c r="C183" s="512">
        <v>0</v>
      </c>
      <c r="D183" s="501">
        <v>0.66</v>
      </c>
      <c r="E183" s="502">
        <v>4.1000000000000002E-2</v>
      </c>
      <c r="F183" s="503">
        <v>8.9999999999999993E-3</v>
      </c>
      <c r="G183" s="508">
        <v>3.07</v>
      </c>
      <c r="H183" s="508">
        <v>0.24</v>
      </c>
      <c r="I183" s="511">
        <v>0.51</v>
      </c>
      <c r="J183" s="499">
        <v>2.5000000000000001E-2</v>
      </c>
    </row>
    <row r="184" spans="1:10" ht="35.049999999999997" customHeight="1" x14ac:dyDescent="0.3">
      <c r="A184" s="398" t="s">
        <v>918</v>
      </c>
      <c r="B184" s="509"/>
      <c r="C184" s="512">
        <v>0</v>
      </c>
      <c r="D184" s="501">
        <v>0.66</v>
      </c>
      <c r="E184" s="502">
        <v>4.1000000000000002E-2</v>
      </c>
      <c r="F184" s="503">
        <v>8.9999999999999993E-3</v>
      </c>
      <c r="G184" s="508">
        <v>4.5</v>
      </c>
      <c r="H184" s="508">
        <v>0.24</v>
      </c>
      <c r="I184" s="511">
        <v>0.51</v>
      </c>
      <c r="J184" s="499">
        <v>2.5000000000000001E-2</v>
      </c>
    </row>
    <row r="185" spans="1:10" ht="35.049999999999997" customHeight="1" x14ac:dyDescent="0.3">
      <c r="A185" s="398" t="s">
        <v>919</v>
      </c>
      <c r="B185" s="509"/>
      <c r="C185" s="512">
        <v>0</v>
      </c>
      <c r="D185" s="501">
        <v>0.66</v>
      </c>
      <c r="E185" s="502">
        <v>4.1000000000000002E-2</v>
      </c>
      <c r="F185" s="503">
        <v>8.9999999999999993E-3</v>
      </c>
      <c r="G185" s="508">
        <v>8.4600000000000009</v>
      </c>
      <c r="H185" s="508">
        <v>0.24</v>
      </c>
      <c r="I185" s="511">
        <v>0.51</v>
      </c>
      <c r="J185" s="499">
        <v>2.5000000000000001E-2</v>
      </c>
    </row>
    <row r="186" spans="1:10" ht="35.049999999999997" customHeight="1" x14ac:dyDescent="0.3">
      <c r="A186" s="398" t="s">
        <v>920</v>
      </c>
      <c r="B186" s="509"/>
      <c r="C186" s="512">
        <v>0</v>
      </c>
      <c r="D186" s="501">
        <v>0.63300000000000001</v>
      </c>
      <c r="E186" s="502">
        <v>3.5999999999999997E-2</v>
      </c>
      <c r="F186" s="503">
        <v>8.0000000000000002E-3</v>
      </c>
      <c r="G186" s="508">
        <v>1.1599999999999999</v>
      </c>
      <c r="H186" s="508">
        <v>0.46</v>
      </c>
      <c r="I186" s="511">
        <v>0.6</v>
      </c>
      <c r="J186" s="499">
        <v>2.1999999999999999E-2</v>
      </c>
    </row>
    <row r="187" spans="1:10" ht="35.049999999999997" customHeight="1" x14ac:dyDescent="0.3">
      <c r="A187" s="398" t="s">
        <v>921</v>
      </c>
      <c r="B187" s="509"/>
      <c r="C187" s="512">
        <v>0</v>
      </c>
      <c r="D187" s="501">
        <v>0.63300000000000001</v>
      </c>
      <c r="E187" s="502">
        <v>3.5999999999999997E-2</v>
      </c>
      <c r="F187" s="503">
        <v>8.0000000000000002E-3</v>
      </c>
      <c r="G187" s="508">
        <v>3.15</v>
      </c>
      <c r="H187" s="508">
        <v>0.46</v>
      </c>
      <c r="I187" s="511">
        <v>0.6</v>
      </c>
      <c r="J187" s="499">
        <v>2.1999999999999999E-2</v>
      </c>
    </row>
    <row r="188" spans="1:10" ht="35.049999999999997" customHeight="1" x14ac:dyDescent="0.3">
      <c r="A188" s="398" t="s">
        <v>922</v>
      </c>
      <c r="B188" s="509"/>
      <c r="C188" s="512">
        <v>0</v>
      </c>
      <c r="D188" s="501">
        <v>0.63300000000000001</v>
      </c>
      <c r="E188" s="502">
        <v>3.5999999999999997E-2</v>
      </c>
      <c r="F188" s="503">
        <v>8.0000000000000002E-3</v>
      </c>
      <c r="G188" s="508">
        <v>4.13</v>
      </c>
      <c r="H188" s="508">
        <v>0.46</v>
      </c>
      <c r="I188" s="511">
        <v>0.6</v>
      </c>
      <c r="J188" s="499">
        <v>2.1999999999999999E-2</v>
      </c>
    </row>
    <row r="189" spans="1:10" ht="35.049999999999997" customHeight="1" x14ac:dyDescent="0.3">
      <c r="A189" s="398" t="s">
        <v>923</v>
      </c>
      <c r="B189" s="509"/>
      <c r="C189" s="512">
        <v>0</v>
      </c>
      <c r="D189" s="501">
        <v>0.63300000000000001</v>
      </c>
      <c r="E189" s="502">
        <v>3.5999999999999997E-2</v>
      </c>
      <c r="F189" s="503">
        <v>8.0000000000000002E-3</v>
      </c>
      <c r="G189" s="508">
        <v>6.22</v>
      </c>
      <c r="H189" s="508">
        <v>0.46</v>
      </c>
      <c r="I189" s="511">
        <v>0.6</v>
      </c>
      <c r="J189" s="499">
        <v>2.1999999999999999E-2</v>
      </c>
    </row>
    <row r="190" spans="1:10" ht="35.049999999999997" customHeight="1" x14ac:dyDescent="0.3">
      <c r="A190" s="398" t="s">
        <v>924</v>
      </c>
      <c r="B190" s="509"/>
      <c r="C190" s="512">
        <v>0</v>
      </c>
      <c r="D190" s="501">
        <v>0.63300000000000001</v>
      </c>
      <c r="E190" s="502">
        <v>3.5999999999999997E-2</v>
      </c>
      <c r="F190" s="503">
        <v>8.0000000000000002E-3</v>
      </c>
      <c r="G190" s="508">
        <v>12.01</v>
      </c>
      <c r="H190" s="508">
        <v>0.46</v>
      </c>
      <c r="I190" s="511">
        <v>0.6</v>
      </c>
      <c r="J190" s="499">
        <v>2.1999999999999999E-2</v>
      </c>
    </row>
    <row r="191" spans="1:10" ht="35.049999999999997" customHeight="1" x14ac:dyDescent="0.3">
      <c r="A191" s="398" t="s">
        <v>925</v>
      </c>
      <c r="B191" s="509"/>
      <c r="C191" s="512">
        <v>0</v>
      </c>
      <c r="D191" s="501">
        <v>0.56599999999999995</v>
      </c>
      <c r="E191" s="502">
        <v>0.03</v>
      </c>
      <c r="F191" s="503">
        <v>7.0000000000000001E-3</v>
      </c>
      <c r="G191" s="508">
        <v>14.48</v>
      </c>
      <c r="H191" s="508">
        <v>0.42</v>
      </c>
      <c r="I191" s="511">
        <v>0.59</v>
      </c>
      <c r="J191" s="499">
        <v>0.02</v>
      </c>
    </row>
    <row r="192" spans="1:10" ht="35.049999999999997" customHeight="1" x14ac:dyDescent="0.3">
      <c r="A192" s="398" t="s">
        <v>926</v>
      </c>
      <c r="B192" s="509"/>
      <c r="C192" s="512">
        <v>0</v>
      </c>
      <c r="D192" s="501">
        <v>0.56599999999999995</v>
      </c>
      <c r="E192" s="502">
        <v>0.03</v>
      </c>
      <c r="F192" s="503">
        <v>7.0000000000000001E-3</v>
      </c>
      <c r="G192" s="508">
        <v>28.28</v>
      </c>
      <c r="H192" s="508">
        <v>0.42</v>
      </c>
      <c r="I192" s="511">
        <v>0.59</v>
      </c>
      <c r="J192" s="499">
        <v>0.02</v>
      </c>
    </row>
    <row r="193" spans="1:10" ht="35.049999999999997" customHeight="1" x14ac:dyDescent="0.3">
      <c r="A193" s="398" t="s">
        <v>927</v>
      </c>
      <c r="B193" s="509"/>
      <c r="C193" s="512">
        <v>0</v>
      </c>
      <c r="D193" s="501">
        <v>0.56599999999999995</v>
      </c>
      <c r="E193" s="502">
        <v>0.03</v>
      </c>
      <c r="F193" s="503">
        <v>7.0000000000000001E-3</v>
      </c>
      <c r="G193" s="508">
        <v>49.23</v>
      </c>
      <c r="H193" s="508">
        <v>0.42</v>
      </c>
      <c r="I193" s="511">
        <v>0.59</v>
      </c>
      <c r="J193" s="499">
        <v>0.02</v>
      </c>
    </row>
    <row r="194" spans="1:10" ht="35.049999999999997" customHeight="1" x14ac:dyDescent="0.3">
      <c r="A194" s="398" t="s">
        <v>928</v>
      </c>
      <c r="B194" s="509"/>
      <c r="C194" s="512">
        <v>0</v>
      </c>
      <c r="D194" s="501">
        <v>0.56599999999999995</v>
      </c>
      <c r="E194" s="502">
        <v>0.03</v>
      </c>
      <c r="F194" s="503">
        <v>7.0000000000000001E-3</v>
      </c>
      <c r="G194" s="508">
        <v>85.62</v>
      </c>
      <c r="H194" s="508">
        <v>0.42</v>
      </c>
      <c r="I194" s="511">
        <v>0.59</v>
      </c>
      <c r="J194" s="499">
        <v>0.02</v>
      </c>
    </row>
    <row r="195" spans="1:10" ht="35.049999999999997" customHeight="1" x14ac:dyDescent="0.3">
      <c r="A195" s="398" t="s">
        <v>929</v>
      </c>
      <c r="B195" s="509"/>
      <c r="C195" s="512">
        <v>0</v>
      </c>
      <c r="D195" s="501">
        <v>0.56599999999999995</v>
      </c>
      <c r="E195" s="502">
        <v>0.03</v>
      </c>
      <c r="F195" s="503">
        <v>7.0000000000000001E-3</v>
      </c>
      <c r="G195" s="508">
        <v>188.41</v>
      </c>
      <c r="H195" s="508">
        <v>0.42</v>
      </c>
      <c r="I195" s="511">
        <v>0.59</v>
      </c>
      <c r="J195" s="499">
        <v>0.02</v>
      </c>
    </row>
    <row r="196" spans="1:10" ht="35.049999999999997" customHeight="1" x14ac:dyDescent="0.3">
      <c r="A196" s="398" t="s">
        <v>595</v>
      </c>
      <c r="B196" s="509"/>
      <c r="C196" s="512" t="s">
        <v>616</v>
      </c>
      <c r="D196" s="504">
        <v>2.4580000000000002</v>
      </c>
      <c r="E196" s="505">
        <v>0.109</v>
      </c>
      <c r="F196" s="503">
        <v>7.1999999999999995E-2</v>
      </c>
      <c r="G196" s="509"/>
      <c r="H196" s="509"/>
      <c r="I196" s="510"/>
      <c r="J196" s="500"/>
    </row>
    <row r="197" spans="1:10" ht="35.049999999999997" customHeight="1" x14ac:dyDescent="0.3">
      <c r="A197" s="398" t="s">
        <v>711</v>
      </c>
      <c r="B197" s="509"/>
      <c r="C197" s="512">
        <v>0</v>
      </c>
      <c r="D197" s="501">
        <v>-0.872</v>
      </c>
      <c r="E197" s="502">
        <v>-5.7000000000000002E-2</v>
      </c>
      <c r="F197" s="503">
        <v>-1.2999999999999999E-2</v>
      </c>
      <c r="G197" s="508">
        <v>0</v>
      </c>
      <c r="H197" s="509"/>
      <c r="I197" s="510"/>
      <c r="J197" s="500"/>
    </row>
    <row r="198" spans="1:10" ht="35.049999999999997" customHeight="1" x14ac:dyDescent="0.3">
      <c r="A198" s="398" t="s">
        <v>712</v>
      </c>
      <c r="B198" s="509"/>
      <c r="C198" s="512">
        <v>0</v>
      </c>
      <c r="D198" s="501">
        <v>-0.84599999999999997</v>
      </c>
      <c r="E198" s="502">
        <v>-5.3999999999999999E-2</v>
      </c>
      <c r="F198" s="503">
        <v>-1.2E-2</v>
      </c>
      <c r="G198" s="508">
        <v>0</v>
      </c>
      <c r="H198" s="509"/>
      <c r="I198" s="510"/>
      <c r="J198" s="500"/>
    </row>
    <row r="199" spans="1:10" ht="35.049999999999997" customHeight="1" x14ac:dyDescent="0.3">
      <c r="A199" s="398" t="s">
        <v>713</v>
      </c>
      <c r="B199" s="509"/>
      <c r="C199" s="512">
        <v>0</v>
      </c>
      <c r="D199" s="501">
        <v>-0.872</v>
      </c>
      <c r="E199" s="502">
        <v>-5.7000000000000002E-2</v>
      </c>
      <c r="F199" s="503">
        <v>-1.2999999999999999E-2</v>
      </c>
      <c r="G199" s="508">
        <v>0</v>
      </c>
      <c r="H199" s="509"/>
      <c r="I199" s="510"/>
      <c r="J199" s="499">
        <v>3.1E-2</v>
      </c>
    </row>
    <row r="200" spans="1:10" ht="35.049999999999997" customHeight="1" x14ac:dyDescent="0.3">
      <c r="A200" s="398" t="s">
        <v>714</v>
      </c>
      <c r="B200" s="509"/>
      <c r="C200" s="512">
        <v>0</v>
      </c>
      <c r="D200" s="501">
        <v>-0.84599999999999997</v>
      </c>
      <c r="E200" s="502">
        <v>-5.3999999999999999E-2</v>
      </c>
      <c r="F200" s="503">
        <v>-1.2E-2</v>
      </c>
      <c r="G200" s="508">
        <v>0</v>
      </c>
      <c r="H200" s="509"/>
      <c r="I200" s="510"/>
      <c r="J200" s="499">
        <v>0.03</v>
      </c>
    </row>
    <row r="201" spans="1:10" ht="35.049999999999997" customHeight="1" x14ac:dyDescent="0.3">
      <c r="A201" s="398" t="s">
        <v>715</v>
      </c>
      <c r="B201" s="509"/>
      <c r="C201" s="512">
        <v>0</v>
      </c>
      <c r="D201" s="501">
        <v>-0.84399999999999997</v>
      </c>
      <c r="E201" s="502">
        <v>-4.7E-2</v>
      </c>
      <c r="F201" s="503">
        <v>-1.0999999999999999E-2</v>
      </c>
      <c r="G201" s="508">
        <v>1.51</v>
      </c>
      <c r="H201" s="509"/>
      <c r="I201" s="510"/>
      <c r="J201" s="499">
        <v>3.3000000000000002E-2</v>
      </c>
    </row>
  </sheetData>
  <autoFilter ref="A11:J11" xr:uid="{00000000-0001-0000-0E00-000000000000}"/>
  <mergeCells count="10">
    <mergeCell ref="H9:J9"/>
    <mergeCell ref="A2:J2"/>
    <mergeCell ref="A4:D4"/>
    <mergeCell ref="F4:J4"/>
    <mergeCell ref="F5:G5"/>
    <mergeCell ref="F6:G6"/>
    <mergeCell ref="F7:G7"/>
    <mergeCell ref="B8:D8"/>
    <mergeCell ref="F8:G8"/>
    <mergeCell ref="F9:G9"/>
  </mergeCells>
  <phoneticPr fontId="6" type="noConversion"/>
  <hyperlinks>
    <hyperlink ref="A1" location="Overview!A1" display="Back to Overview" xr:uid="{00000000-0004-0000-0E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pageSetUpPr fitToPage="1"/>
  </sheetPr>
  <dimension ref="A1:N201"/>
  <sheetViews>
    <sheetView zoomScale="50" zoomScaleNormal="50" workbookViewId="0">
      <selection activeCell="B10" sqref="B10: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0" t="s">
        <v>19</v>
      </c>
      <c r="B1" s="3"/>
      <c r="C1" s="3"/>
      <c r="D1" s="3"/>
      <c r="F1" s="3"/>
      <c r="G1" s="3"/>
      <c r="H1" s="3"/>
      <c r="I1" s="3"/>
      <c r="J1" s="1"/>
      <c r="K1" s="1"/>
    </row>
    <row r="2" spans="1:14" ht="40" customHeight="1" x14ac:dyDescent="0.3">
      <c r="A2" s="612" t="str">
        <f>Overview!B4&amp;" - Effective from "&amp;Overview!D4&amp;" - Final LDNO tariffs in WPD EM Area (GSP Group_B)"</f>
        <v>Indigo Power Limited - Effective from 1 April 2023 - Final LDNO tariffs in WPD EM Area (GSP Group_B)</v>
      </c>
      <c r="B2" s="612"/>
      <c r="C2" s="612"/>
      <c r="D2" s="612"/>
      <c r="E2" s="612"/>
      <c r="F2" s="612"/>
      <c r="G2" s="612"/>
      <c r="H2" s="612"/>
      <c r="I2" s="612"/>
      <c r="J2" s="612"/>
    </row>
    <row r="3" spans="1:14" s="47" customFormat="1" ht="40" customHeight="1" x14ac:dyDescent="0.3">
      <c r="A3" s="45"/>
      <c r="B3" s="45"/>
      <c r="C3" s="45"/>
      <c r="D3" s="45"/>
      <c r="E3" s="45"/>
      <c r="F3" s="45"/>
      <c r="G3" s="45"/>
      <c r="H3" s="45"/>
      <c r="I3" s="45"/>
      <c r="J3" s="45"/>
      <c r="K3" s="45"/>
      <c r="L3" s="46"/>
      <c r="M3" s="46"/>
    </row>
    <row r="4" spans="1:14" ht="40" customHeight="1" x14ac:dyDescent="0.3">
      <c r="A4" s="553" t="s">
        <v>308</v>
      </c>
      <c r="B4" s="554"/>
      <c r="C4" s="554"/>
      <c r="D4" s="555"/>
      <c r="E4" s="45"/>
      <c r="F4" s="553" t="s">
        <v>307</v>
      </c>
      <c r="G4" s="554"/>
      <c r="H4" s="554"/>
      <c r="I4" s="554"/>
      <c r="J4" s="555"/>
      <c r="L4" s="3"/>
      <c r="M4" s="3"/>
    </row>
    <row r="5" spans="1:14" ht="40" customHeight="1" x14ac:dyDescent="0.3">
      <c r="A5" s="468" t="s">
        <v>13</v>
      </c>
      <c r="B5" s="270" t="s">
        <v>299</v>
      </c>
      <c r="C5" s="286" t="s">
        <v>300</v>
      </c>
      <c r="D5" s="42" t="s">
        <v>301</v>
      </c>
      <c r="E5" s="45"/>
      <c r="F5" s="259"/>
      <c r="G5" s="260"/>
      <c r="H5" s="43" t="s">
        <v>305</v>
      </c>
      <c r="I5" s="44" t="s">
        <v>306</v>
      </c>
      <c r="J5" s="42" t="s">
        <v>301</v>
      </c>
      <c r="L5" s="45"/>
      <c r="M5" s="3"/>
      <c r="N5" s="3"/>
    </row>
    <row r="6" spans="1:14" ht="40" customHeight="1" x14ac:dyDescent="0.3">
      <c r="A6" s="105" t="str">
        <f>'Annex 1 LV and HV charges_B'!A6</f>
        <v xml:space="preserve">Monday to Friday </v>
      </c>
      <c r="B6" s="13" t="str">
        <f>'Annex 1 LV and HV charges_B'!B6</f>
        <v>16:00 to 19:00</v>
      </c>
      <c r="C6" s="261" t="str">
        <f>'Annex 1 LV and HV charges_B'!C6</f>
        <v>07:30 to 16:00
19:00 to 21:00</v>
      </c>
      <c r="D6" s="86" t="str">
        <f>'Annex 1 LV and HV charges_B'!E6</f>
        <v>00:00 to 07:30
21:00 to 24:00</v>
      </c>
      <c r="E6" s="45"/>
      <c r="F6" s="266" t="str">
        <f>'Annex 1 LV and HV charges_B'!G6</f>
        <v>Monday to Friday Nov to Feb</v>
      </c>
      <c r="G6" s="266" t="str">
        <f>'Annex 1 LV and HV charges_B'!H6</f>
        <v/>
      </c>
      <c r="H6" s="13" t="str">
        <f>'Annex 1 LV and HV charges_B'!I6</f>
        <v>16:00 to 19:00</v>
      </c>
      <c r="I6" s="269" t="str">
        <f>'Annex 1 LV and HV charges_B'!J6</f>
        <v>07:30 to 16:00
19:00 to 21:00</v>
      </c>
      <c r="J6" s="269" t="str">
        <f>'Annex 1 LV and HV charges_B'!K6</f>
        <v>00:00 to 07:30
21:00 to 24:00</v>
      </c>
      <c r="L6" s="45"/>
      <c r="M6" s="3"/>
      <c r="N6" s="3"/>
    </row>
    <row r="7" spans="1:14" ht="40" customHeight="1" x14ac:dyDescent="0.3">
      <c r="A7" s="105" t="str">
        <f>'Annex 1 LV and HV charges_B'!A7</f>
        <v>Weekends</v>
      </c>
      <c r="B7" s="263" t="str">
        <f>'Annex 1 LV and HV charges_B'!B7</f>
        <v/>
      </c>
      <c r="C7" s="265" t="str">
        <f>'Annex 1 LV and HV charges_B'!C7</f>
        <v/>
      </c>
      <c r="D7" s="269" t="str">
        <f>'Annex 1 LV and HV charges_B'!E7</f>
        <v>00:00 to 24:00</v>
      </c>
      <c r="E7" s="45"/>
      <c r="F7" s="266" t="str">
        <f>'Annex 1 LV and HV charges_B'!G7</f>
        <v>Monday to Friday Mar to Oct</v>
      </c>
      <c r="G7" s="266" t="str">
        <f>'Annex 1 LV and HV charges_B'!H7</f>
        <v/>
      </c>
      <c r="H7" s="263" t="str">
        <f>'Annex 1 LV and HV charges_B'!I7</f>
        <v/>
      </c>
      <c r="I7" s="269" t="str">
        <f>'Annex 1 LV and HV charges_B'!J7</f>
        <v>07:30 to 21:00</v>
      </c>
      <c r="J7" s="269" t="str">
        <f>'Annex 1 LV and HV charges_B'!K7</f>
        <v>00:00 to 07:30
21:00 to 24:00</v>
      </c>
      <c r="L7" s="45"/>
      <c r="M7" s="3"/>
      <c r="N7" s="3"/>
    </row>
    <row r="8" spans="1:14" ht="40" customHeight="1" x14ac:dyDescent="0.3">
      <c r="A8" s="465" t="str">
        <f>'Annex 1 LV and HV charges_B'!A8</f>
        <v>Notes</v>
      </c>
      <c r="B8" s="537" t="str">
        <f>'Annex 1 LV and HV charges_B'!B8</f>
        <v>All the above times are in UK Clock time</v>
      </c>
      <c r="C8" s="546" t="str">
        <f>'Annex 1 LV and HV charges_B'!C8</f>
        <v/>
      </c>
      <c r="D8" s="538" t="str">
        <f>'Annex 1 LV and HV charges_B'!D8</f>
        <v/>
      </c>
      <c r="E8" s="45"/>
      <c r="F8" s="266" t="str">
        <f>'Annex 1 LV and HV charges_B'!G8</f>
        <v>Weekends</v>
      </c>
      <c r="G8" s="266" t="str">
        <f>'Annex 1 LV and HV charges_B'!H8</f>
        <v/>
      </c>
      <c r="H8" s="263" t="str">
        <f>'Annex 1 LV and HV charges_B'!I8</f>
        <v/>
      </c>
      <c r="I8" s="263" t="str">
        <f>'Annex 1 LV and HV charges_B'!J8</f>
        <v/>
      </c>
      <c r="J8" s="269" t="str">
        <f>'Annex 1 LV and HV charges_B'!K8</f>
        <v>00:00 to 24:00</v>
      </c>
      <c r="L8" s="45"/>
      <c r="M8" s="3"/>
      <c r="N8" s="3"/>
    </row>
    <row r="9" spans="1:14" s="41" customFormat="1" ht="40" customHeight="1" x14ac:dyDescent="0.3">
      <c r="A9" s="267"/>
      <c r="B9" s="267"/>
      <c r="C9" s="558"/>
      <c r="D9" s="559"/>
      <c r="E9" s="45"/>
      <c r="F9" s="266" t="str">
        <f>'Annex 1 LV and HV charges_B'!G9</f>
        <v>Notes</v>
      </c>
      <c r="G9" s="266" t="str">
        <f>'Annex 1 LV and HV charges_B'!H9</f>
        <v/>
      </c>
      <c r="H9" s="537" t="str">
        <f>'Annex 1 LV and HV charges_B'!I9</f>
        <v>All the above times are in UK Clock time</v>
      </c>
      <c r="I9" s="546" t="str">
        <f>'Annex 1 LV and HV charges_B'!J9</f>
        <v/>
      </c>
      <c r="J9" s="538" t="str">
        <f>'Annex 1 LV and HV charges_B'!K9</f>
        <v/>
      </c>
      <c r="L9" s="45"/>
      <c r="M9" s="29"/>
      <c r="N9" s="29"/>
    </row>
    <row r="10" spans="1:14" s="47" customFormat="1" ht="40" customHeight="1" x14ac:dyDescent="0.3">
      <c r="A10" s="111"/>
      <c r="B10" s="560" t="s">
        <v>480</v>
      </c>
      <c r="C10" s="561"/>
      <c r="D10" s="561"/>
      <c r="E10" s="562"/>
      <c r="F10" s="45"/>
      <c r="G10" s="558"/>
      <c r="H10" s="559"/>
      <c r="I10" s="268"/>
      <c r="J10" s="268"/>
      <c r="K10" s="115"/>
      <c r="L10" s="45"/>
      <c r="M10" s="46"/>
      <c r="N10" s="46"/>
    </row>
    <row r="11" spans="1:14" ht="75" customHeight="1" x14ac:dyDescent="0.3">
      <c r="A11" s="18" t="s">
        <v>455</v>
      </c>
      <c r="B11" s="18" t="s">
        <v>31</v>
      </c>
      <c r="C11" s="433" t="s">
        <v>24</v>
      </c>
      <c r="D11" s="374" t="s">
        <v>579</v>
      </c>
      <c r="E11" s="374" t="s">
        <v>580</v>
      </c>
      <c r="F11" s="374" t="s">
        <v>581</v>
      </c>
      <c r="G11" s="433" t="s">
        <v>25</v>
      </c>
      <c r="H11" s="433" t="s">
        <v>26</v>
      </c>
      <c r="I11" s="433" t="s">
        <v>456</v>
      </c>
      <c r="J11" s="433" t="s">
        <v>270</v>
      </c>
    </row>
    <row r="12" spans="1:14" ht="35.049999999999997" customHeight="1" x14ac:dyDescent="0.3">
      <c r="A12" s="398" t="s">
        <v>786</v>
      </c>
      <c r="B12" s="437" t="s">
        <v>480</v>
      </c>
      <c r="C12" s="405" t="s">
        <v>574</v>
      </c>
      <c r="D12" s="481">
        <v>4.6130000000000004</v>
      </c>
      <c r="E12" s="478">
        <v>1.0429999999999999</v>
      </c>
      <c r="F12" s="479">
        <v>8.6999999999999994E-2</v>
      </c>
      <c r="G12" s="480">
        <v>8.0500000000000007</v>
      </c>
      <c r="H12" s="476">
        <v>0</v>
      </c>
      <c r="I12" s="516">
        <v>0</v>
      </c>
      <c r="J12" s="482">
        <v>0</v>
      </c>
    </row>
    <row r="13" spans="1:14" ht="35.049999999999997" customHeight="1" x14ac:dyDescent="0.3">
      <c r="A13" s="398" t="s">
        <v>787</v>
      </c>
      <c r="B13" s="437" t="s">
        <v>480</v>
      </c>
      <c r="C13" s="405" t="s">
        <v>575</v>
      </c>
      <c r="D13" s="481">
        <v>4.6130000000000004</v>
      </c>
      <c r="E13" s="478">
        <v>1.0429999999999999</v>
      </c>
      <c r="F13" s="479">
        <v>8.6999999999999994E-2</v>
      </c>
      <c r="G13" s="476">
        <v>0</v>
      </c>
      <c r="H13" s="476">
        <v>0</v>
      </c>
      <c r="I13" s="516">
        <v>0</v>
      </c>
      <c r="J13" s="482">
        <v>0</v>
      </c>
    </row>
    <row r="14" spans="1:14" ht="35.049999999999997" customHeight="1" x14ac:dyDescent="0.3">
      <c r="A14" s="398" t="s">
        <v>788</v>
      </c>
      <c r="B14" s="437" t="s">
        <v>480</v>
      </c>
      <c r="C14" s="405" t="s">
        <v>930</v>
      </c>
      <c r="D14" s="481">
        <v>4.2169999999999996</v>
      </c>
      <c r="E14" s="478">
        <v>0.95399999999999996</v>
      </c>
      <c r="F14" s="479">
        <v>0.08</v>
      </c>
      <c r="G14" s="480">
        <v>6.17</v>
      </c>
      <c r="H14" s="476">
        <v>0</v>
      </c>
      <c r="I14" s="516">
        <v>0</v>
      </c>
      <c r="J14" s="482">
        <v>0</v>
      </c>
    </row>
    <row r="15" spans="1:14" ht="35.049999999999997" customHeight="1" x14ac:dyDescent="0.3">
      <c r="A15" s="398" t="s">
        <v>789</v>
      </c>
      <c r="B15" s="437" t="s">
        <v>480</v>
      </c>
      <c r="C15" s="405" t="s">
        <v>930</v>
      </c>
      <c r="D15" s="481">
        <v>4.2169999999999996</v>
      </c>
      <c r="E15" s="478">
        <v>0.95399999999999996</v>
      </c>
      <c r="F15" s="479">
        <v>0.08</v>
      </c>
      <c r="G15" s="480">
        <v>8.32</v>
      </c>
      <c r="H15" s="476">
        <v>0</v>
      </c>
      <c r="I15" s="516">
        <v>0</v>
      </c>
      <c r="J15" s="482">
        <v>0</v>
      </c>
    </row>
    <row r="16" spans="1:14" ht="35.049999999999997" customHeight="1" x14ac:dyDescent="0.3">
      <c r="A16" s="398" t="s">
        <v>790</v>
      </c>
      <c r="B16" s="437" t="s">
        <v>480</v>
      </c>
      <c r="C16" s="405" t="s">
        <v>930</v>
      </c>
      <c r="D16" s="481">
        <v>4.2169999999999996</v>
      </c>
      <c r="E16" s="478">
        <v>0.95399999999999996</v>
      </c>
      <c r="F16" s="479">
        <v>0.08</v>
      </c>
      <c r="G16" s="480">
        <v>16.38</v>
      </c>
      <c r="H16" s="476">
        <v>0</v>
      </c>
      <c r="I16" s="516">
        <v>0</v>
      </c>
      <c r="J16" s="482">
        <v>0</v>
      </c>
    </row>
    <row r="17" spans="1:10" ht="35.049999999999997" customHeight="1" x14ac:dyDescent="0.3">
      <c r="A17" s="398" t="s">
        <v>791</v>
      </c>
      <c r="B17" s="437" t="s">
        <v>480</v>
      </c>
      <c r="C17" s="405" t="s">
        <v>930</v>
      </c>
      <c r="D17" s="481">
        <v>4.2169999999999996</v>
      </c>
      <c r="E17" s="478">
        <v>0.95399999999999996</v>
      </c>
      <c r="F17" s="479">
        <v>0.08</v>
      </c>
      <c r="G17" s="480">
        <v>31.3</v>
      </c>
      <c r="H17" s="476">
        <v>0</v>
      </c>
      <c r="I17" s="516">
        <v>0</v>
      </c>
      <c r="J17" s="482">
        <v>0</v>
      </c>
    </row>
    <row r="18" spans="1:10" ht="35.049999999999997" customHeight="1" x14ac:dyDescent="0.3">
      <c r="A18" s="398" t="s">
        <v>792</v>
      </c>
      <c r="B18" s="437" t="s">
        <v>480</v>
      </c>
      <c r="C18" s="405" t="s">
        <v>930</v>
      </c>
      <c r="D18" s="481">
        <v>4.2169999999999996</v>
      </c>
      <c r="E18" s="478">
        <v>0.95399999999999996</v>
      </c>
      <c r="F18" s="479">
        <v>0.08</v>
      </c>
      <c r="G18" s="480">
        <v>86.17</v>
      </c>
      <c r="H18" s="476">
        <v>0</v>
      </c>
      <c r="I18" s="516">
        <v>0</v>
      </c>
      <c r="J18" s="482">
        <v>0</v>
      </c>
    </row>
    <row r="19" spans="1:10" ht="35.049999999999997" customHeight="1" x14ac:dyDescent="0.3">
      <c r="A19" s="398" t="s">
        <v>582</v>
      </c>
      <c r="B19" s="437" t="s">
        <v>480</v>
      </c>
      <c r="C19" s="405" t="s">
        <v>577</v>
      </c>
      <c r="D19" s="481">
        <v>4.2169999999999996</v>
      </c>
      <c r="E19" s="478">
        <v>0.95399999999999996</v>
      </c>
      <c r="F19" s="479">
        <v>0.08</v>
      </c>
      <c r="G19" s="476">
        <v>0</v>
      </c>
      <c r="H19" s="476">
        <v>0</v>
      </c>
      <c r="I19" s="516">
        <v>0</v>
      </c>
      <c r="J19" s="482">
        <v>0</v>
      </c>
    </row>
    <row r="20" spans="1:10" ht="35.049999999999997" customHeight="1" x14ac:dyDescent="0.3">
      <c r="A20" s="398" t="s">
        <v>793</v>
      </c>
      <c r="B20" s="437" t="s">
        <v>480</v>
      </c>
      <c r="C20" s="405">
        <v>0</v>
      </c>
      <c r="D20" s="481">
        <v>3.169</v>
      </c>
      <c r="E20" s="478">
        <v>0.69499999999999995</v>
      </c>
      <c r="F20" s="479">
        <v>5.8000000000000003E-2</v>
      </c>
      <c r="G20" s="480">
        <v>9.2899999999999991</v>
      </c>
      <c r="H20" s="480">
        <v>2.2799999999999998</v>
      </c>
      <c r="I20" s="485">
        <v>4.32</v>
      </c>
      <c r="J20" s="475">
        <v>0.108</v>
      </c>
    </row>
    <row r="21" spans="1:10" ht="35.049999999999997" customHeight="1" x14ac:dyDescent="0.3">
      <c r="A21" s="398" t="s">
        <v>794</v>
      </c>
      <c r="B21" s="437" t="s">
        <v>480</v>
      </c>
      <c r="C21" s="405">
        <v>0</v>
      </c>
      <c r="D21" s="481">
        <v>3.169</v>
      </c>
      <c r="E21" s="478">
        <v>0.69499999999999995</v>
      </c>
      <c r="F21" s="479">
        <v>5.8000000000000003E-2</v>
      </c>
      <c r="G21" s="480">
        <v>145.81</v>
      </c>
      <c r="H21" s="480">
        <v>2.2799999999999998</v>
      </c>
      <c r="I21" s="485">
        <v>4.32</v>
      </c>
      <c r="J21" s="475">
        <v>0.108</v>
      </c>
    </row>
    <row r="22" spans="1:10" ht="35.049999999999997" customHeight="1" x14ac:dyDescent="0.3">
      <c r="A22" s="398" t="s">
        <v>795</v>
      </c>
      <c r="B22" s="437" t="s">
        <v>480</v>
      </c>
      <c r="C22" s="405">
        <v>0</v>
      </c>
      <c r="D22" s="481">
        <v>3.169</v>
      </c>
      <c r="E22" s="478">
        <v>0.69499999999999995</v>
      </c>
      <c r="F22" s="479">
        <v>5.8000000000000003E-2</v>
      </c>
      <c r="G22" s="480">
        <v>249.91</v>
      </c>
      <c r="H22" s="480">
        <v>2.2799999999999998</v>
      </c>
      <c r="I22" s="485">
        <v>4.32</v>
      </c>
      <c r="J22" s="475">
        <v>0.108</v>
      </c>
    </row>
    <row r="23" spans="1:10" ht="35.049999999999997" customHeight="1" x14ac:dyDescent="0.3">
      <c r="A23" s="398" t="s">
        <v>796</v>
      </c>
      <c r="B23" s="437" t="s">
        <v>480</v>
      </c>
      <c r="C23" s="405">
        <v>0</v>
      </c>
      <c r="D23" s="481">
        <v>3.169</v>
      </c>
      <c r="E23" s="478">
        <v>0.69499999999999995</v>
      </c>
      <c r="F23" s="479">
        <v>5.8000000000000003E-2</v>
      </c>
      <c r="G23" s="480">
        <v>396.9</v>
      </c>
      <c r="H23" s="480">
        <v>2.2799999999999998</v>
      </c>
      <c r="I23" s="485">
        <v>4.32</v>
      </c>
      <c r="J23" s="475">
        <v>0.108</v>
      </c>
    </row>
    <row r="24" spans="1:10" ht="35.049999999999997" customHeight="1" x14ac:dyDescent="0.3">
      <c r="A24" s="398" t="s">
        <v>797</v>
      </c>
      <c r="B24" s="437" t="s">
        <v>480</v>
      </c>
      <c r="C24" s="405">
        <v>0</v>
      </c>
      <c r="D24" s="481">
        <v>3.169</v>
      </c>
      <c r="E24" s="478">
        <v>0.69499999999999995</v>
      </c>
      <c r="F24" s="479">
        <v>5.8000000000000003E-2</v>
      </c>
      <c r="G24" s="480">
        <v>799.49</v>
      </c>
      <c r="H24" s="480">
        <v>2.2799999999999998</v>
      </c>
      <c r="I24" s="485">
        <v>4.32</v>
      </c>
      <c r="J24" s="475">
        <v>0.108</v>
      </c>
    </row>
    <row r="25" spans="1:10" ht="35.049999999999997" customHeight="1" x14ac:dyDescent="0.3">
      <c r="A25" s="398" t="s">
        <v>583</v>
      </c>
      <c r="B25" s="437" t="s">
        <v>480</v>
      </c>
      <c r="C25" s="405" t="s">
        <v>616</v>
      </c>
      <c r="D25" s="477">
        <v>11.938000000000001</v>
      </c>
      <c r="E25" s="483">
        <v>2.024</v>
      </c>
      <c r="F25" s="479">
        <v>1.1819999999999999</v>
      </c>
      <c r="G25" s="476">
        <v>0</v>
      </c>
      <c r="H25" s="476">
        <v>0</v>
      </c>
      <c r="I25" s="516">
        <v>0</v>
      </c>
      <c r="J25" s="482">
        <v>0</v>
      </c>
    </row>
    <row r="26" spans="1:10" ht="35.049999999999997" customHeight="1" x14ac:dyDescent="0.3">
      <c r="A26" s="398" t="s">
        <v>686</v>
      </c>
      <c r="B26" s="437" t="s">
        <v>480</v>
      </c>
      <c r="C26" s="405">
        <v>0</v>
      </c>
      <c r="D26" s="481">
        <v>-3.9630000000000001</v>
      </c>
      <c r="E26" s="478">
        <v>-0.89600000000000002</v>
      </c>
      <c r="F26" s="479">
        <v>-7.4999999999999997E-2</v>
      </c>
      <c r="G26" s="508">
        <v>0</v>
      </c>
      <c r="H26" s="476">
        <v>0</v>
      </c>
      <c r="I26" s="516">
        <v>0</v>
      </c>
      <c r="J26" s="482">
        <v>0</v>
      </c>
    </row>
    <row r="27" spans="1:10" ht="35.049999999999997" customHeight="1" x14ac:dyDescent="0.3">
      <c r="A27" s="398" t="s">
        <v>687</v>
      </c>
      <c r="B27" s="437" t="s">
        <v>480</v>
      </c>
      <c r="C27" s="405">
        <v>0</v>
      </c>
      <c r="D27" s="481">
        <v>-3.9630000000000001</v>
      </c>
      <c r="E27" s="478">
        <v>-0.89600000000000002</v>
      </c>
      <c r="F27" s="479">
        <v>-7.4999999999999997E-2</v>
      </c>
      <c r="G27" s="508">
        <v>0</v>
      </c>
      <c r="H27" s="476">
        <v>0</v>
      </c>
      <c r="I27" s="516">
        <v>0</v>
      </c>
      <c r="J27" s="475">
        <v>0.152</v>
      </c>
    </row>
    <row r="28" spans="1:10" ht="35.049999999999997" customHeight="1" x14ac:dyDescent="0.3">
      <c r="A28" s="401" t="s">
        <v>798</v>
      </c>
      <c r="B28" s="437" t="s">
        <v>480</v>
      </c>
      <c r="C28" s="405" t="s">
        <v>574</v>
      </c>
      <c r="D28" s="481">
        <v>3.6869999999999998</v>
      </c>
      <c r="E28" s="478">
        <v>0.83399999999999996</v>
      </c>
      <c r="F28" s="479">
        <v>7.0000000000000007E-2</v>
      </c>
      <c r="G28" s="480">
        <v>6.5</v>
      </c>
      <c r="H28" s="476">
        <v>0</v>
      </c>
      <c r="I28" s="516">
        <v>0</v>
      </c>
      <c r="J28" s="482">
        <v>0</v>
      </c>
    </row>
    <row r="29" spans="1:10" ht="35.049999999999997" customHeight="1" x14ac:dyDescent="0.3">
      <c r="A29" s="401" t="s">
        <v>799</v>
      </c>
      <c r="B29" s="437" t="s">
        <v>480</v>
      </c>
      <c r="C29" s="405" t="s">
        <v>575</v>
      </c>
      <c r="D29" s="481">
        <v>3.6869999999999998</v>
      </c>
      <c r="E29" s="478">
        <v>0.83399999999999996</v>
      </c>
      <c r="F29" s="479">
        <v>7.0000000000000007E-2</v>
      </c>
      <c r="G29" s="476">
        <v>0</v>
      </c>
      <c r="H29" s="476">
        <v>0</v>
      </c>
      <c r="I29" s="516">
        <v>0</v>
      </c>
      <c r="J29" s="482">
        <v>0</v>
      </c>
    </row>
    <row r="30" spans="1:10" ht="35.049999999999997" customHeight="1" x14ac:dyDescent="0.3">
      <c r="A30" s="401" t="s">
        <v>800</v>
      </c>
      <c r="B30" s="437" t="s">
        <v>480</v>
      </c>
      <c r="C30" s="405" t="s">
        <v>930</v>
      </c>
      <c r="D30" s="481">
        <v>3.371</v>
      </c>
      <c r="E30" s="478">
        <v>0.76200000000000001</v>
      </c>
      <c r="F30" s="479">
        <v>6.4000000000000001E-2</v>
      </c>
      <c r="G30" s="480">
        <v>4.9800000000000004</v>
      </c>
      <c r="H30" s="476">
        <v>0</v>
      </c>
      <c r="I30" s="516">
        <v>0</v>
      </c>
      <c r="J30" s="482">
        <v>0</v>
      </c>
    </row>
    <row r="31" spans="1:10" ht="35.049999999999997" customHeight="1" x14ac:dyDescent="0.3">
      <c r="A31" s="401" t="s">
        <v>801</v>
      </c>
      <c r="B31" s="437" t="s">
        <v>480</v>
      </c>
      <c r="C31" s="405" t="s">
        <v>930</v>
      </c>
      <c r="D31" s="481">
        <v>3.371</v>
      </c>
      <c r="E31" s="478">
        <v>0.76200000000000001</v>
      </c>
      <c r="F31" s="479">
        <v>6.4000000000000001E-2</v>
      </c>
      <c r="G31" s="480">
        <v>6.7</v>
      </c>
      <c r="H31" s="476">
        <v>0</v>
      </c>
      <c r="I31" s="516">
        <v>0</v>
      </c>
      <c r="J31" s="482">
        <v>0</v>
      </c>
    </row>
    <row r="32" spans="1:10" ht="35.049999999999997" customHeight="1" x14ac:dyDescent="0.3">
      <c r="A32" s="401" t="s">
        <v>802</v>
      </c>
      <c r="B32" s="437" t="s">
        <v>480</v>
      </c>
      <c r="C32" s="405" t="s">
        <v>930</v>
      </c>
      <c r="D32" s="481">
        <v>3.371</v>
      </c>
      <c r="E32" s="478">
        <v>0.76200000000000001</v>
      </c>
      <c r="F32" s="479">
        <v>6.4000000000000001E-2</v>
      </c>
      <c r="G32" s="480">
        <v>13.13</v>
      </c>
      <c r="H32" s="476">
        <v>0</v>
      </c>
      <c r="I32" s="516">
        <v>0</v>
      </c>
      <c r="J32" s="482">
        <v>0</v>
      </c>
    </row>
    <row r="33" spans="1:10" ht="35.049999999999997" customHeight="1" x14ac:dyDescent="0.3">
      <c r="A33" s="401" t="s">
        <v>803</v>
      </c>
      <c r="B33" s="437" t="s">
        <v>480</v>
      </c>
      <c r="C33" s="405" t="s">
        <v>930</v>
      </c>
      <c r="D33" s="481">
        <v>3.371</v>
      </c>
      <c r="E33" s="478">
        <v>0.76200000000000001</v>
      </c>
      <c r="F33" s="479">
        <v>6.4000000000000001E-2</v>
      </c>
      <c r="G33" s="480">
        <v>25.07</v>
      </c>
      <c r="H33" s="476">
        <v>0</v>
      </c>
      <c r="I33" s="516">
        <v>0</v>
      </c>
      <c r="J33" s="482">
        <v>0</v>
      </c>
    </row>
    <row r="34" spans="1:10" ht="35.049999999999997" customHeight="1" x14ac:dyDescent="0.3">
      <c r="A34" s="401" t="s">
        <v>804</v>
      </c>
      <c r="B34" s="437" t="s">
        <v>480</v>
      </c>
      <c r="C34" s="405" t="s">
        <v>930</v>
      </c>
      <c r="D34" s="481">
        <v>3.371</v>
      </c>
      <c r="E34" s="478">
        <v>0.76200000000000001</v>
      </c>
      <c r="F34" s="479">
        <v>6.4000000000000001E-2</v>
      </c>
      <c r="G34" s="480">
        <v>68.92</v>
      </c>
      <c r="H34" s="476">
        <v>0</v>
      </c>
      <c r="I34" s="516">
        <v>0</v>
      </c>
      <c r="J34" s="482">
        <v>0</v>
      </c>
    </row>
    <row r="35" spans="1:10" ht="35.049999999999997" customHeight="1" x14ac:dyDescent="0.3">
      <c r="A35" s="401" t="s">
        <v>584</v>
      </c>
      <c r="B35" s="437" t="s">
        <v>480</v>
      </c>
      <c r="C35" s="405" t="s">
        <v>577</v>
      </c>
      <c r="D35" s="481">
        <v>3.371</v>
      </c>
      <c r="E35" s="478">
        <v>0.76200000000000001</v>
      </c>
      <c r="F35" s="479">
        <v>6.4000000000000001E-2</v>
      </c>
      <c r="G35" s="476">
        <v>0</v>
      </c>
      <c r="H35" s="476">
        <v>0</v>
      </c>
      <c r="I35" s="516">
        <v>0</v>
      </c>
      <c r="J35" s="482">
        <v>0</v>
      </c>
    </row>
    <row r="36" spans="1:10" ht="35.049999999999997" customHeight="1" x14ac:dyDescent="0.3">
      <c r="A36" s="401" t="s">
        <v>805</v>
      </c>
      <c r="B36" s="437" t="s">
        <v>480</v>
      </c>
      <c r="C36" s="405">
        <v>0</v>
      </c>
      <c r="D36" s="481">
        <v>2.5329999999999999</v>
      </c>
      <c r="E36" s="478">
        <v>0.55500000000000005</v>
      </c>
      <c r="F36" s="479">
        <v>4.5999999999999999E-2</v>
      </c>
      <c r="G36" s="480">
        <v>7.47</v>
      </c>
      <c r="H36" s="480">
        <v>1.82</v>
      </c>
      <c r="I36" s="485">
        <v>3.45</v>
      </c>
      <c r="J36" s="475">
        <v>8.5999999999999993E-2</v>
      </c>
    </row>
    <row r="37" spans="1:10" ht="35.049999999999997" customHeight="1" x14ac:dyDescent="0.3">
      <c r="A37" s="401" t="s">
        <v>806</v>
      </c>
      <c r="B37" s="437" t="s">
        <v>480</v>
      </c>
      <c r="C37" s="405">
        <v>0</v>
      </c>
      <c r="D37" s="481">
        <v>2.5329999999999999</v>
      </c>
      <c r="E37" s="478">
        <v>0.55500000000000005</v>
      </c>
      <c r="F37" s="479">
        <v>4.5999999999999999E-2</v>
      </c>
      <c r="G37" s="480">
        <v>116.58</v>
      </c>
      <c r="H37" s="480">
        <v>1.82</v>
      </c>
      <c r="I37" s="485">
        <v>3.45</v>
      </c>
      <c r="J37" s="475">
        <v>8.5999999999999993E-2</v>
      </c>
    </row>
    <row r="38" spans="1:10" ht="35.049999999999997" customHeight="1" x14ac:dyDescent="0.3">
      <c r="A38" s="401" t="s">
        <v>807</v>
      </c>
      <c r="B38" s="437" t="s">
        <v>480</v>
      </c>
      <c r="C38" s="405">
        <v>0</v>
      </c>
      <c r="D38" s="481">
        <v>2.5329999999999999</v>
      </c>
      <c r="E38" s="478">
        <v>0.55500000000000005</v>
      </c>
      <c r="F38" s="479">
        <v>4.5999999999999999E-2</v>
      </c>
      <c r="G38" s="480">
        <v>199.79</v>
      </c>
      <c r="H38" s="480">
        <v>1.82</v>
      </c>
      <c r="I38" s="485">
        <v>3.45</v>
      </c>
      <c r="J38" s="475">
        <v>8.5999999999999993E-2</v>
      </c>
    </row>
    <row r="39" spans="1:10" ht="35.049999999999997" customHeight="1" x14ac:dyDescent="0.3">
      <c r="A39" s="401" t="s">
        <v>808</v>
      </c>
      <c r="B39" s="437" t="s">
        <v>480</v>
      </c>
      <c r="C39" s="405">
        <v>0</v>
      </c>
      <c r="D39" s="481">
        <v>2.5329999999999999</v>
      </c>
      <c r="E39" s="478">
        <v>0.55500000000000005</v>
      </c>
      <c r="F39" s="479">
        <v>4.5999999999999999E-2</v>
      </c>
      <c r="G39" s="480">
        <v>317.27999999999997</v>
      </c>
      <c r="H39" s="480">
        <v>1.82</v>
      </c>
      <c r="I39" s="485">
        <v>3.45</v>
      </c>
      <c r="J39" s="475">
        <v>8.5999999999999993E-2</v>
      </c>
    </row>
    <row r="40" spans="1:10" ht="35.049999999999997" customHeight="1" x14ac:dyDescent="0.3">
      <c r="A40" s="401" t="s">
        <v>809</v>
      </c>
      <c r="B40" s="437" t="s">
        <v>480</v>
      </c>
      <c r="C40" s="405">
        <v>0</v>
      </c>
      <c r="D40" s="481">
        <v>2.5329999999999999</v>
      </c>
      <c r="E40" s="478">
        <v>0.55500000000000005</v>
      </c>
      <c r="F40" s="479">
        <v>4.5999999999999999E-2</v>
      </c>
      <c r="G40" s="480">
        <v>639.05999999999995</v>
      </c>
      <c r="H40" s="480">
        <v>1.82</v>
      </c>
      <c r="I40" s="485">
        <v>3.45</v>
      </c>
      <c r="J40" s="475">
        <v>8.5999999999999993E-2</v>
      </c>
    </row>
    <row r="41" spans="1:10" ht="35.049999999999997" customHeight="1" x14ac:dyDescent="0.3">
      <c r="A41" s="401" t="s">
        <v>810</v>
      </c>
      <c r="B41" s="437" t="s">
        <v>480</v>
      </c>
      <c r="C41" s="405">
        <v>0</v>
      </c>
      <c r="D41" s="481">
        <v>2.3029999999999999</v>
      </c>
      <c r="E41" s="478">
        <v>0.47</v>
      </c>
      <c r="F41" s="479">
        <v>3.9E-2</v>
      </c>
      <c r="G41" s="480">
        <v>8.48</v>
      </c>
      <c r="H41" s="480">
        <v>3.17</v>
      </c>
      <c r="I41" s="485">
        <v>4.67</v>
      </c>
      <c r="J41" s="475">
        <v>8.6999999999999994E-2</v>
      </c>
    </row>
    <row r="42" spans="1:10" ht="35.049999999999997" customHeight="1" x14ac:dyDescent="0.3">
      <c r="A42" s="401" t="s">
        <v>811</v>
      </c>
      <c r="B42" s="437" t="s">
        <v>480</v>
      </c>
      <c r="C42" s="405">
        <v>0</v>
      </c>
      <c r="D42" s="481">
        <v>2.3029999999999999</v>
      </c>
      <c r="E42" s="478">
        <v>0.47</v>
      </c>
      <c r="F42" s="479">
        <v>3.9E-2</v>
      </c>
      <c r="G42" s="480">
        <v>167.81</v>
      </c>
      <c r="H42" s="480">
        <v>3.17</v>
      </c>
      <c r="I42" s="485">
        <v>4.67</v>
      </c>
      <c r="J42" s="475">
        <v>8.6999999999999994E-2</v>
      </c>
    </row>
    <row r="43" spans="1:10" ht="35.049999999999997" customHeight="1" x14ac:dyDescent="0.3">
      <c r="A43" s="401" t="s">
        <v>812</v>
      </c>
      <c r="B43" s="437" t="s">
        <v>480</v>
      </c>
      <c r="C43" s="405">
        <v>0</v>
      </c>
      <c r="D43" s="481">
        <v>2.3029999999999999</v>
      </c>
      <c r="E43" s="478">
        <v>0.47</v>
      </c>
      <c r="F43" s="479">
        <v>3.9E-2</v>
      </c>
      <c r="G43" s="480">
        <v>289.31</v>
      </c>
      <c r="H43" s="480">
        <v>3.17</v>
      </c>
      <c r="I43" s="485">
        <v>4.67</v>
      </c>
      <c r="J43" s="475">
        <v>8.6999999999999994E-2</v>
      </c>
    </row>
    <row r="44" spans="1:10" ht="35.049999999999997" customHeight="1" x14ac:dyDescent="0.3">
      <c r="A44" s="401" t="s">
        <v>813</v>
      </c>
      <c r="B44" s="437" t="s">
        <v>480</v>
      </c>
      <c r="C44" s="405">
        <v>0</v>
      </c>
      <c r="D44" s="481">
        <v>2.3029999999999999</v>
      </c>
      <c r="E44" s="478">
        <v>0.47</v>
      </c>
      <c r="F44" s="479">
        <v>3.9E-2</v>
      </c>
      <c r="G44" s="480">
        <v>460.87</v>
      </c>
      <c r="H44" s="480">
        <v>3.17</v>
      </c>
      <c r="I44" s="485">
        <v>4.67</v>
      </c>
      <c r="J44" s="475">
        <v>8.6999999999999994E-2</v>
      </c>
    </row>
    <row r="45" spans="1:10" ht="35.049999999999997" customHeight="1" x14ac:dyDescent="0.3">
      <c r="A45" s="401" t="s">
        <v>814</v>
      </c>
      <c r="B45" s="437" t="s">
        <v>480</v>
      </c>
      <c r="C45" s="405">
        <v>0</v>
      </c>
      <c r="D45" s="481">
        <v>2.3029999999999999</v>
      </c>
      <c r="E45" s="478">
        <v>0.47</v>
      </c>
      <c r="F45" s="479">
        <v>3.9E-2</v>
      </c>
      <c r="G45" s="480">
        <v>930.73</v>
      </c>
      <c r="H45" s="480">
        <v>3.17</v>
      </c>
      <c r="I45" s="485">
        <v>4.67</v>
      </c>
      <c r="J45" s="475">
        <v>8.6999999999999994E-2</v>
      </c>
    </row>
    <row r="46" spans="1:10" ht="35.049999999999997" customHeight="1" x14ac:dyDescent="0.3">
      <c r="A46" s="401" t="s">
        <v>815</v>
      </c>
      <c r="B46" s="437" t="s">
        <v>480</v>
      </c>
      <c r="C46" s="405">
        <v>0</v>
      </c>
      <c r="D46" s="481">
        <v>1.623</v>
      </c>
      <c r="E46" s="478">
        <v>0.28999999999999998</v>
      </c>
      <c r="F46" s="479">
        <v>2.3E-2</v>
      </c>
      <c r="G46" s="480">
        <v>86.65</v>
      </c>
      <c r="H46" s="480">
        <v>4.34</v>
      </c>
      <c r="I46" s="485">
        <v>6.16</v>
      </c>
      <c r="J46" s="475">
        <v>0.05</v>
      </c>
    </row>
    <row r="47" spans="1:10" ht="35.049999999999997" customHeight="1" x14ac:dyDescent="0.3">
      <c r="A47" s="401" t="s">
        <v>816</v>
      </c>
      <c r="B47" s="437" t="s">
        <v>480</v>
      </c>
      <c r="C47" s="405">
        <v>0</v>
      </c>
      <c r="D47" s="481">
        <v>1.623</v>
      </c>
      <c r="E47" s="478">
        <v>0.28999999999999998</v>
      </c>
      <c r="F47" s="479">
        <v>2.3E-2</v>
      </c>
      <c r="G47" s="480">
        <v>928.29</v>
      </c>
      <c r="H47" s="480">
        <v>4.34</v>
      </c>
      <c r="I47" s="485">
        <v>6.16</v>
      </c>
      <c r="J47" s="475">
        <v>0.05</v>
      </c>
    </row>
    <row r="48" spans="1:10" ht="35.049999999999997" customHeight="1" x14ac:dyDescent="0.3">
      <c r="A48" s="401" t="s">
        <v>817</v>
      </c>
      <c r="B48" s="437" t="s">
        <v>480</v>
      </c>
      <c r="C48" s="405">
        <v>0</v>
      </c>
      <c r="D48" s="481">
        <v>1.623</v>
      </c>
      <c r="E48" s="478">
        <v>0.28999999999999998</v>
      </c>
      <c r="F48" s="479">
        <v>2.3E-2</v>
      </c>
      <c r="G48" s="480">
        <v>2750.77</v>
      </c>
      <c r="H48" s="480">
        <v>4.34</v>
      </c>
      <c r="I48" s="485">
        <v>6.16</v>
      </c>
      <c r="J48" s="475">
        <v>0.05</v>
      </c>
    </row>
    <row r="49" spans="1:10" ht="35.049999999999997" customHeight="1" x14ac:dyDescent="0.3">
      <c r="A49" s="401" t="s">
        <v>818</v>
      </c>
      <c r="B49" s="437" t="s">
        <v>480</v>
      </c>
      <c r="C49" s="405">
        <v>0</v>
      </c>
      <c r="D49" s="481">
        <v>1.623</v>
      </c>
      <c r="E49" s="478">
        <v>0.28999999999999998</v>
      </c>
      <c r="F49" s="479">
        <v>2.3E-2</v>
      </c>
      <c r="G49" s="480">
        <v>6225.36</v>
      </c>
      <c r="H49" s="480">
        <v>4.34</v>
      </c>
      <c r="I49" s="485">
        <v>6.16</v>
      </c>
      <c r="J49" s="475">
        <v>0.05</v>
      </c>
    </row>
    <row r="50" spans="1:10" ht="35.049999999999997" customHeight="1" x14ac:dyDescent="0.3">
      <c r="A50" s="401" t="s">
        <v>819</v>
      </c>
      <c r="B50" s="437" t="s">
        <v>480</v>
      </c>
      <c r="C50" s="405">
        <v>0</v>
      </c>
      <c r="D50" s="481">
        <v>1.623</v>
      </c>
      <c r="E50" s="478">
        <v>0.28999999999999998</v>
      </c>
      <c r="F50" s="479">
        <v>2.3E-2</v>
      </c>
      <c r="G50" s="480">
        <v>16609.490000000002</v>
      </c>
      <c r="H50" s="480">
        <v>4.34</v>
      </c>
      <c r="I50" s="485">
        <v>6.16</v>
      </c>
      <c r="J50" s="475">
        <v>0.05</v>
      </c>
    </row>
    <row r="51" spans="1:10" ht="35.049999999999997" customHeight="1" x14ac:dyDescent="0.3">
      <c r="A51" s="401" t="s">
        <v>585</v>
      </c>
      <c r="B51" s="437" t="s">
        <v>480</v>
      </c>
      <c r="C51" s="405" t="s">
        <v>616</v>
      </c>
      <c r="D51" s="477">
        <v>9.5419999999999998</v>
      </c>
      <c r="E51" s="483">
        <v>1.6180000000000001</v>
      </c>
      <c r="F51" s="479">
        <v>0.94399999999999995</v>
      </c>
      <c r="G51" s="476">
        <v>0</v>
      </c>
      <c r="H51" s="476">
        <v>0</v>
      </c>
      <c r="I51" s="516">
        <v>0</v>
      </c>
      <c r="J51" s="482">
        <v>0</v>
      </c>
    </row>
    <row r="52" spans="1:10" ht="35.049999999999997" customHeight="1" x14ac:dyDescent="0.3">
      <c r="A52" s="401" t="s">
        <v>688</v>
      </c>
      <c r="B52" s="437" t="s">
        <v>480</v>
      </c>
      <c r="C52" s="405">
        <v>0</v>
      </c>
      <c r="D52" s="481">
        <v>-3.9630000000000001</v>
      </c>
      <c r="E52" s="478">
        <v>-0.89600000000000002</v>
      </c>
      <c r="F52" s="479">
        <v>-7.4999999999999997E-2</v>
      </c>
      <c r="G52" s="508">
        <v>0</v>
      </c>
      <c r="H52" s="476">
        <v>0</v>
      </c>
      <c r="I52" s="516">
        <v>0</v>
      </c>
      <c r="J52" s="482">
        <v>0</v>
      </c>
    </row>
    <row r="53" spans="1:10" ht="35.049999999999997" customHeight="1" x14ac:dyDescent="0.3">
      <c r="A53" s="401" t="s">
        <v>689</v>
      </c>
      <c r="B53" s="437" t="s">
        <v>480</v>
      </c>
      <c r="C53" s="405">
        <v>0</v>
      </c>
      <c r="D53" s="481">
        <v>-3.4670000000000001</v>
      </c>
      <c r="E53" s="478">
        <v>-0.76900000000000002</v>
      </c>
      <c r="F53" s="479">
        <v>-6.4000000000000001E-2</v>
      </c>
      <c r="G53" s="508">
        <v>0</v>
      </c>
      <c r="H53" s="476">
        <v>0</v>
      </c>
      <c r="I53" s="516">
        <v>0</v>
      </c>
      <c r="J53" s="482">
        <v>0</v>
      </c>
    </row>
    <row r="54" spans="1:10" ht="35.049999999999997" customHeight="1" x14ac:dyDescent="0.3">
      <c r="A54" s="401" t="s">
        <v>599</v>
      </c>
      <c r="B54" s="437" t="s">
        <v>480</v>
      </c>
      <c r="C54" s="405">
        <v>0</v>
      </c>
      <c r="D54" s="481">
        <v>-3.9630000000000001</v>
      </c>
      <c r="E54" s="478">
        <v>-0.89600000000000002</v>
      </c>
      <c r="F54" s="479">
        <v>-7.4999999999999997E-2</v>
      </c>
      <c r="G54" s="508">
        <v>0</v>
      </c>
      <c r="H54" s="476">
        <v>0</v>
      </c>
      <c r="I54" s="516">
        <v>0</v>
      </c>
      <c r="J54" s="475">
        <v>0.152</v>
      </c>
    </row>
    <row r="55" spans="1:10" ht="35.049999999999997" customHeight="1" x14ac:dyDescent="0.3">
      <c r="A55" s="401" t="s">
        <v>690</v>
      </c>
      <c r="B55" s="437" t="s">
        <v>480</v>
      </c>
      <c r="C55" s="405">
        <v>0</v>
      </c>
      <c r="D55" s="481">
        <v>-3.4670000000000001</v>
      </c>
      <c r="E55" s="478">
        <v>-0.76900000000000002</v>
      </c>
      <c r="F55" s="479">
        <v>-6.4000000000000001E-2</v>
      </c>
      <c r="G55" s="508">
        <v>0</v>
      </c>
      <c r="H55" s="476">
        <v>0</v>
      </c>
      <c r="I55" s="516">
        <v>0</v>
      </c>
      <c r="J55" s="475">
        <v>0.126</v>
      </c>
    </row>
    <row r="56" spans="1:10" ht="35.049999999999997" customHeight="1" x14ac:dyDescent="0.3">
      <c r="A56" s="401" t="s">
        <v>600</v>
      </c>
      <c r="B56" s="437" t="s">
        <v>480</v>
      </c>
      <c r="C56" s="405">
        <v>0</v>
      </c>
      <c r="D56" s="481">
        <v>-2.2410000000000001</v>
      </c>
      <c r="E56" s="478">
        <v>-0.44900000000000001</v>
      </c>
      <c r="F56" s="479">
        <v>-3.6999999999999998E-2</v>
      </c>
      <c r="G56" s="508">
        <v>0</v>
      </c>
      <c r="H56" s="476">
        <v>0</v>
      </c>
      <c r="I56" s="516">
        <v>0</v>
      </c>
      <c r="J56" s="475">
        <v>0.10100000000000001</v>
      </c>
    </row>
    <row r="57" spans="1:10" ht="35.049999999999997" customHeight="1" x14ac:dyDescent="0.3">
      <c r="A57" s="398" t="s">
        <v>820</v>
      </c>
      <c r="B57" s="437" t="s">
        <v>480</v>
      </c>
      <c r="C57" s="405" t="s">
        <v>574</v>
      </c>
      <c r="D57" s="481">
        <v>2.8079999999999998</v>
      </c>
      <c r="E57" s="478">
        <v>0.63500000000000001</v>
      </c>
      <c r="F57" s="479">
        <v>5.2999999999999999E-2</v>
      </c>
      <c r="G57" s="480">
        <v>5.0199999999999996</v>
      </c>
      <c r="H57" s="476">
        <v>0</v>
      </c>
      <c r="I57" s="516">
        <v>0</v>
      </c>
      <c r="J57" s="482">
        <v>0</v>
      </c>
    </row>
    <row r="58" spans="1:10" ht="35.049999999999997" customHeight="1" x14ac:dyDescent="0.3">
      <c r="A58" s="398" t="s">
        <v>821</v>
      </c>
      <c r="B58" s="437" t="s">
        <v>480</v>
      </c>
      <c r="C58" s="405" t="s">
        <v>575</v>
      </c>
      <c r="D58" s="481">
        <v>2.8079999999999998</v>
      </c>
      <c r="E58" s="478">
        <v>0.63500000000000001</v>
      </c>
      <c r="F58" s="479">
        <v>5.2999999999999999E-2</v>
      </c>
      <c r="G58" s="476">
        <v>0</v>
      </c>
      <c r="H58" s="476">
        <v>0</v>
      </c>
      <c r="I58" s="516">
        <v>0</v>
      </c>
      <c r="J58" s="482">
        <v>0</v>
      </c>
    </row>
    <row r="59" spans="1:10" ht="35.049999999999997" customHeight="1" x14ac:dyDescent="0.3">
      <c r="A59" s="398" t="s">
        <v>822</v>
      </c>
      <c r="B59" s="437" t="s">
        <v>480</v>
      </c>
      <c r="C59" s="405" t="s">
        <v>930</v>
      </c>
      <c r="D59" s="481">
        <v>2.5670000000000002</v>
      </c>
      <c r="E59" s="478">
        <v>0.57999999999999996</v>
      </c>
      <c r="F59" s="479">
        <v>4.8000000000000001E-2</v>
      </c>
      <c r="G59" s="480">
        <v>3.84</v>
      </c>
      <c r="H59" s="476">
        <v>0</v>
      </c>
      <c r="I59" s="516">
        <v>0</v>
      </c>
      <c r="J59" s="482">
        <v>0</v>
      </c>
    </row>
    <row r="60" spans="1:10" ht="35.049999999999997" customHeight="1" x14ac:dyDescent="0.3">
      <c r="A60" s="398" t="s">
        <v>823</v>
      </c>
      <c r="B60" s="437" t="s">
        <v>480</v>
      </c>
      <c r="C60" s="405" t="s">
        <v>930</v>
      </c>
      <c r="D60" s="481">
        <v>2.5670000000000002</v>
      </c>
      <c r="E60" s="478">
        <v>0.57999999999999996</v>
      </c>
      <c r="F60" s="479">
        <v>4.8000000000000001E-2</v>
      </c>
      <c r="G60" s="480">
        <v>5.15</v>
      </c>
      <c r="H60" s="476">
        <v>0</v>
      </c>
      <c r="I60" s="516">
        <v>0</v>
      </c>
      <c r="J60" s="482">
        <v>0</v>
      </c>
    </row>
    <row r="61" spans="1:10" ht="35.049999999999997" customHeight="1" x14ac:dyDescent="0.3">
      <c r="A61" s="398" t="s">
        <v>824</v>
      </c>
      <c r="B61" s="437" t="s">
        <v>480</v>
      </c>
      <c r="C61" s="405" t="s">
        <v>930</v>
      </c>
      <c r="D61" s="481">
        <v>2.5670000000000002</v>
      </c>
      <c r="E61" s="478">
        <v>0.57999999999999996</v>
      </c>
      <c r="F61" s="479">
        <v>4.8000000000000001E-2</v>
      </c>
      <c r="G61" s="480">
        <v>10.06</v>
      </c>
      <c r="H61" s="476">
        <v>0</v>
      </c>
      <c r="I61" s="516">
        <v>0</v>
      </c>
      <c r="J61" s="482">
        <v>0</v>
      </c>
    </row>
    <row r="62" spans="1:10" ht="35.049999999999997" customHeight="1" x14ac:dyDescent="0.3">
      <c r="A62" s="398" t="s">
        <v>825</v>
      </c>
      <c r="B62" s="437" t="s">
        <v>480</v>
      </c>
      <c r="C62" s="405" t="s">
        <v>930</v>
      </c>
      <c r="D62" s="481">
        <v>2.5670000000000002</v>
      </c>
      <c r="E62" s="478">
        <v>0.57999999999999996</v>
      </c>
      <c r="F62" s="479">
        <v>4.8000000000000001E-2</v>
      </c>
      <c r="G62" s="480">
        <v>19.14</v>
      </c>
      <c r="H62" s="476">
        <v>0</v>
      </c>
      <c r="I62" s="516">
        <v>0</v>
      </c>
      <c r="J62" s="482">
        <v>0</v>
      </c>
    </row>
    <row r="63" spans="1:10" ht="35.049999999999997" customHeight="1" x14ac:dyDescent="0.3">
      <c r="A63" s="398" t="s">
        <v>826</v>
      </c>
      <c r="B63" s="437" t="s">
        <v>480</v>
      </c>
      <c r="C63" s="405" t="s">
        <v>930</v>
      </c>
      <c r="D63" s="481">
        <v>2.5670000000000002</v>
      </c>
      <c r="E63" s="478">
        <v>0.57999999999999996</v>
      </c>
      <c r="F63" s="479">
        <v>4.8000000000000001E-2</v>
      </c>
      <c r="G63" s="480">
        <v>52.54</v>
      </c>
      <c r="H63" s="476">
        <v>0</v>
      </c>
      <c r="I63" s="516">
        <v>0</v>
      </c>
      <c r="J63" s="482">
        <v>0</v>
      </c>
    </row>
    <row r="64" spans="1:10" ht="35.049999999999997" customHeight="1" x14ac:dyDescent="0.3">
      <c r="A64" s="398" t="s">
        <v>586</v>
      </c>
      <c r="B64" s="437" t="s">
        <v>480</v>
      </c>
      <c r="C64" s="405" t="s">
        <v>577</v>
      </c>
      <c r="D64" s="481">
        <v>2.5670000000000002</v>
      </c>
      <c r="E64" s="478">
        <v>0.57999999999999996</v>
      </c>
      <c r="F64" s="479">
        <v>4.8000000000000001E-2</v>
      </c>
      <c r="G64" s="476">
        <v>0</v>
      </c>
      <c r="H64" s="476">
        <v>0</v>
      </c>
      <c r="I64" s="516">
        <v>0</v>
      </c>
      <c r="J64" s="482">
        <v>0</v>
      </c>
    </row>
    <row r="65" spans="1:10" ht="35.049999999999997" customHeight="1" x14ac:dyDescent="0.3">
      <c r="A65" s="398" t="s">
        <v>827</v>
      </c>
      <c r="B65" s="437" t="s">
        <v>480</v>
      </c>
      <c r="C65" s="405">
        <v>0</v>
      </c>
      <c r="D65" s="481">
        <v>1.929</v>
      </c>
      <c r="E65" s="478">
        <v>0.42299999999999999</v>
      </c>
      <c r="F65" s="479">
        <v>3.5000000000000003E-2</v>
      </c>
      <c r="G65" s="480">
        <v>5.74</v>
      </c>
      <c r="H65" s="480">
        <v>1.39</v>
      </c>
      <c r="I65" s="485">
        <v>2.63</v>
      </c>
      <c r="J65" s="475">
        <v>6.6000000000000003E-2</v>
      </c>
    </row>
    <row r="66" spans="1:10" ht="35.049999999999997" customHeight="1" x14ac:dyDescent="0.3">
      <c r="A66" s="398" t="s">
        <v>828</v>
      </c>
      <c r="B66" s="437" t="s">
        <v>480</v>
      </c>
      <c r="C66" s="405">
        <v>0</v>
      </c>
      <c r="D66" s="481">
        <v>1.929</v>
      </c>
      <c r="E66" s="478">
        <v>0.42299999999999999</v>
      </c>
      <c r="F66" s="479">
        <v>3.5000000000000003E-2</v>
      </c>
      <c r="G66" s="480">
        <v>88.84</v>
      </c>
      <c r="H66" s="480">
        <v>1.39</v>
      </c>
      <c r="I66" s="485">
        <v>2.63</v>
      </c>
      <c r="J66" s="475">
        <v>6.6000000000000003E-2</v>
      </c>
    </row>
    <row r="67" spans="1:10" ht="35.049999999999997" customHeight="1" x14ac:dyDescent="0.3">
      <c r="A67" s="398" t="s">
        <v>829</v>
      </c>
      <c r="B67" s="437" t="s">
        <v>480</v>
      </c>
      <c r="C67" s="405">
        <v>0</v>
      </c>
      <c r="D67" s="481">
        <v>1.929</v>
      </c>
      <c r="E67" s="478">
        <v>0.42299999999999999</v>
      </c>
      <c r="F67" s="479">
        <v>3.5000000000000003E-2</v>
      </c>
      <c r="G67" s="480">
        <v>152.21</v>
      </c>
      <c r="H67" s="480">
        <v>1.39</v>
      </c>
      <c r="I67" s="485">
        <v>2.63</v>
      </c>
      <c r="J67" s="475">
        <v>6.6000000000000003E-2</v>
      </c>
    </row>
    <row r="68" spans="1:10" ht="35.049999999999997" customHeight="1" x14ac:dyDescent="0.3">
      <c r="A68" s="398" t="s">
        <v>830</v>
      </c>
      <c r="B68" s="437" t="s">
        <v>480</v>
      </c>
      <c r="C68" s="405">
        <v>0</v>
      </c>
      <c r="D68" s="481">
        <v>1.929</v>
      </c>
      <c r="E68" s="478">
        <v>0.42299999999999999</v>
      </c>
      <c r="F68" s="479">
        <v>3.5000000000000003E-2</v>
      </c>
      <c r="G68" s="480">
        <v>241.69</v>
      </c>
      <c r="H68" s="480">
        <v>1.39</v>
      </c>
      <c r="I68" s="485">
        <v>2.63</v>
      </c>
      <c r="J68" s="475">
        <v>6.6000000000000003E-2</v>
      </c>
    </row>
    <row r="69" spans="1:10" ht="35.049999999999997" customHeight="1" x14ac:dyDescent="0.3">
      <c r="A69" s="398" t="s">
        <v>831</v>
      </c>
      <c r="B69" s="437" t="s">
        <v>480</v>
      </c>
      <c r="C69" s="405">
        <v>0</v>
      </c>
      <c r="D69" s="481">
        <v>1.929</v>
      </c>
      <c r="E69" s="478">
        <v>0.42299999999999999</v>
      </c>
      <c r="F69" s="479">
        <v>3.5000000000000003E-2</v>
      </c>
      <c r="G69" s="480">
        <v>486.75</v>
      </c>
      <c r="H69" s="480">
        <v>1.39</v>
      </c>
      <c r="I69" s="485">
        <v>2.63</v>
      </c>
      <c r="J69" s="475">
        <v>6.6000000000000003E-2</v>
      </c>
    </row>
    <row r="70" spans="1:10" ht="35.049999999999997" customHeight="1" x14ac:dyDescent="0.3">
      <c r="A70" s="398" t="s">
        <v>832</v>
      </c>
      <c r="B70" s="437" t="s">
        <v>480</v>
      </c>
      <c r="C70" s="405">
        <v>0</v>
      </c>
      <c r="D70" s="481">
        <v>1.73</v>
      </c>
      <c r="E70" s="478">
        <v>0.35299999999999998</v>
      </c>
      <c r="F70" s="479">
        <v>2.9000000000000001E-2</v>
      </c>
      <c r="G70" s="480">
        <v>6.43</v>
      </c>
      <c r="H70" s="480">
        <v>2.38</v>
      </c>
      <c r="I70" s="485">
        <v>3.51</v>
      </c>
      <c r="J70" s="475">
        <v>6.5000000000000002E-2</v>
      </c>
    </row>
    <row r="71" spans="1:10" ht="35.049999999999997" customHeight="1" x14ac:dyDescent="0.3">
      <c r="A71" s="398" t="s">
        <v>833</v>
      </c>
      <c r="B71" s="437" t="s">
        <v>480</v>
      </c>
      <c r="C71" s="405">
        <v>0</v>
      </c>
      <c r="D71" s="481">
        <v>1.73</v>
      </c>
      <c r="E71" s="478">
        <v>0.35299999999999998</v>
      </c>
      <c r="F71" s="479">
        <v>2.9000000000000001E-2</v>
      </c>
      <c r="G71" s="480">
        <v>126.13</v>
      </c>
      <c r="H71" s="480">
        <v>2.38</v>
      </c>
      <c r="I71" s="485">
        <v>3.51</v>
      </c>
      <c r="J71" s="475">
        <v>6.5000000000000002E-2</v>
      </c>
    </row>
    <row r="72" spans="1:10" ht="35.049999999999997" customHeight="1" x14ac:dyDescent="0.3">
      <c r="A72" s="398" t="s">
        <v>834</v>
      </c>
      <c r="B72" s="437" t="s">
        <v>480</v>
      </c>
      <c r="C72" s="405">
        <v>0</v>
      </c>
      <c r="D72" s="481">
        <v>1.73</v>
      </c>
      <c r="E72" s="478">
        <v>0.35299999999999998</v>
      </c>
      <c r="F72" s="479">
        <v>2.9000000000000001E-2</v>
      </c>
      <c r="G72" s="480">
        <v>217.42</v>
      </c>
      <c r="H72" s="480">
        <v>2.38</v>
      </c>
      <c r="I72" s="485">
        <v>3.51</v>
      </c>
      <c r="J72" s="475">
        <v>6.5000000000000002E-2</v>
      </c>
    </row>
    <row r="73" spans="1:10" ht="35.049999999999997" customHeight="1" x14ac:dyDescent="0.3">
      <c r="A73" s="398" t="s">
        <v>835</v>
      </c>
      <c r="B73" s="437" t="s">
        <v>480</v>
      </c>
      <c r="C73" s="405">
        <v>0</v>
      </c>
      <c r="D73" s="481">
        <v>1.73</v>
      </c>
      <c r="E73" s="478">
        <v>0.35299999999999998</v>
      </c>
      <c r="F73" s="479">
        <v>2.9000000000000001E-2</v>
      </c>
      <c r="G73" s="480">
        <v>346.31</v>
      </c>
      <c r="H73" s="480">
        <v>2.38</v>
      </c>
      <c r="I73" s="485">
        <v>3.51</v>
      </c>
      <c r="J73" s="475">
        <v>6.5000000000000002E-2</v>
      </c>
    </row>
    <row r="74" spans="1:10" ht="35.049999999999997" customHeight="1" x14ac:dyDescent="0.3">
      <c r="A74" s="398" t="s">
        <v>836</v>
      </c>
      <c r="B74" s="437" t="s">
        <v>480</v>
      </c>
      <c r="C74" s="405">
        <v>0</v>
      </c>
      <c r="D74" s="481">
        <v>1.73</v>
      </c>
      <c r="E74" s="478">
        <v>0.35299999999999998</v>
      </c>
      <c r="F74" s="479">
        <v>2.9000000000000001E-2</v>
      </c>
      <c r="G74" s="480">
        <v>699.32</v>
      </c>
      <c r="H74" s="480">
        <v>2.38</v>
      </c>
      <c r="I74" s="485">
        <v>3.51</v>
      </c>
      <c r="J74" s="475">
        <v>6.5000000000000002E-2</v>
      </c>
    </row>
    <row r="75" spans="1:10" ht="35.049999999999997" customHeight="1" x14ac:dyDescent="0.3">
      <c r="A75" s="398" t="s">
        <v>837</v>
      </c>
      <c r="B75" s="437" t="s">
        <v>480</v>
      </c>
      <c r="C75" s="405">
        <v>0</v>
      </c>
      <c r="D75" s="481">
        <v>1.2110000000000001</v>
      </c>
      <c r="E75" s="478">
        <v>0.216</v>
      </c>
      <c r="F75" s="479">
        <v>1.7000000000000001E-2</v>
      </c>
      <c r="G75" s="480">
        <v>64.73</v>
      </c>
      <c r="H75" s="480">
        <v>3.24</v>
      </c>
      <c r="I75" s="485">
        <v>4.5999999999999996</v>
      </c>
      <c r="J75" s="475">
        <v>3.6999999999999998E-2</v>
      </c>
    </row>
    <row r="76" spans="1:10" ht="35.049999999999997" customHeight="1" x14ac:dyDescent="0.3">
      <c r="A76" s="398" t="s">
        <v>838</v>
      </c>
      <c r="B76" s="437" t="s">
        <v>480</v>
      </c>
      <c r="C76" s="405">
        <v>0</v>
      </c>
      <c r="D76" s="481">
        <v>1.2110000000000001</v>
      </c>
      <c r="E76" s="478">
        <v>0.216</v>
      </c>
      <c r="F76" s="479">
        <v>1.7000000000000001E-2</v>
      </c>
      <c r="G76" s="480">
        <v>692.94</v>
      </c>
      <c r="H76" s="480">
        <v>3.24</v>
      </c>
      <c r="I76" s="485">
        <v>4.5999999999999996</v>
      </c>
      <c r="J76" s="475">
        <v>3.6999999999999998E-2</v>
      </c>
    </row>
    <row r="77" spans="1:10" ht="35.049999999999997" customHeight="1" x14ac:dyDescent="0.3">
      <c r="A77" s="398" t="s">
        <v>839</v>
      </c>
      <c r="B77" s="437" t="s">
        <v>480</v>
      </c>
      <c r="C77" s="405">
        <v>0</v>
      </c>
      <c r="D77" s="481">
        <v>1.2110000000000001</v>
      </c>
      <c r="E77" s="478">
        <v>0.216</v>
      </c>
      <c r="F77" s="479">
        <v>1.7000000000000001E-2</v>
      </c>
      <c r="G77" s="480">
        <v>2053.2600000000002</v>
      </c>
      <c r="H77" s="480">
        <v>3.24</v>
      </c>
      <c r="I77" s="485">
        <v>4.5999999999999996</v>
      </c>
      <c r="J77" s="475">
        <v>3.6999999999999998E-2</v>
      </c>
    </row>
    <row r="78" spans="1:10" ht="35.049999999999997" customHeight="1" x14ac:dyDescent="0.3">
      <c r="A78" s="398" t="s">
        <v>840</v>
      </c>
      <c r="B78" s="437" t="s">
        <v>480</v>
      </c>
      <c r="C78" s="405">
        <v>0</v>
      </c>
      <c r="D78" s="481">
        <v>1.2110000000000001</v>
      </c>
      <c r="E78" s="478">
        <v>0.216</v>
      </c>
      <c r="F78" s="479">
        <v>1.7000000000000001E-2</v>
      </c>
      <c r="G78" s="480">
        <v>4646.72</v>
      </c>
      <c r="H78" s="480">
        <v>3.24</v>
      </c>
      <c r="I78" s="485">
        <v>4.5999999999999996</v>
      </c>
      <c r="J78" s="475">
        <v>3.6999999999999998E-2</v>
      </c>
    </row>
    <row r="79" spans="1:10" ht="35.049999999999997" customHeight="1" x14ac:dyDescent="0.3">
      <c r="A79" s="398" t="s">
        <v>841</v>
      </c>
      <c r="B79" s="437" t="s">
        <v>480</v>
      </c>
      <c r="C79" s="405">
        <v>0</v>
      </c>
      <c r="D79" s="481">
        <v>1.2110000000000001</v>
      </c>
      <c r="E79" s="478">
        <v>0.216</v>
      </c>
      <c r="F79" s="479">
        <v>1.7000000000000001E-2</v>
      </c>
      <c r="G79" s="480">
        <v>12397.53</v>
      </c>
      <c r="H79" s="480">
        <v>3.24</v>
      </c>
      <c r="I79" s="485">
        <v>4.5999999999999996</v>
      </c>
      <c r="J79" s="475">
        <v>3.6999999999999998E-2</v>
      </c>
    </row>
    <row r="80" spans="1:10" ht="35.049999999999997" customHeight="1" x14ac:dyDescent="0.3">
      <c r="A80" s="398" t="s">
        <v>587</v>
      </c>
      <c r="B80" s="437" t="s">
        <v>480</v>
      </c>
      <c r="C80" s="405" t="s">
        <v>616</v>
      </c>
      <c r="D80" s="477">
        <v>7.2670000000000003</v>
      </c>
      <c r="E80" s="483">
        <v>1.232</v>
      </c>
      <c r="F80" s="479">
        <v>0.71899999999999997</v>
      </c>
      <c r="G80" s="476">
        <v>0</v>
      </c>
      <c r="H80" s="476">
        <v>0</v>
      </c>
      <c r="I80" s="516">
        <v>0</v>
      </c>
      <c r="J80" s="482">
        <v>0</v>
      </c>
    </row>
    <row r="81" spans="1:10" ht="35.049999999999997" customHeight="1" x14ac:dyDescent="0.3">
      <c r="A81" s="398" t="s">
        <v>691</v>
      </c>
      <c r="B81" s="437" t="s">
        <v>480</v>
      </c>
      <c r="C81" s="405">
        <v>0</v>
      </c>
      <c r="D81" s="481">
        <v>-2.4279999999999999</v>
      </c>
      <c r="E81" s="478">
        <v>-0.54900000000000004</v>
      </c>
      <c r="F81" s="479">
        <v>-4.5999999999999999E-2</v>
      </c>
      <c r="G81" s="508">
        <v>0</v>
      </c>
      <c r="H81" s="476">
        <v>0</v>
      </c>
      <c r="I81" s="516">
        <v>0</v>
      </c>
      <c r="J81" s="482">
        <v>0</v>
      </c>
    </row>
    <row r="82" spans="1:10" ht="35.049999999999997" customHeight="1" x14ac:dyDescent="0.3">
      <c r="A82" s="398" t="s">
        <v>692</v>
      </c>
      <c r="B82" s="437" t="s">
        <v>480</v>
      </c>
      <c r="C82" s="405">
        <v>0</v>
      </c>
      <c r="D82" s="481">
        <v>-2.3919999999999999</v>
      </c>
      <c r="E82" s="478">
        <v>-0.53100000000000003</v>
      </c>
      <c r="F82" s="479">
        <v>-4.3999999999999997E-2</v>
      </c>
      <c r="G82" s="508">
        <v>0</v>
      </c>
      <c r="H82" s="476">
        <v>0</v>
      </c>
      <c r="I82" s="516">
        <v>0</v>
      </c>
      <c r="J82" s="482">
        <v>0</v>
      </c>
    </row>
    <row r="83" spans="1:10" ht="35.049999999999997" customHeight="1" x14ac:dyDescent="0.3">
      <c r="A83" s="398" t="s">
        <v>693</v>
      </c>
      <c r="B83" s="437" t="s">
        <v>480</v>
      </c>
      <c r="C83" s="405">
        <v>0</v>
      </c>
      <c r="D83" s="481">
        <v>-2.4279999999999999</v>
      </c>
      <c r="E83" s="478">
        <v>-0.54900000000000004</v>
      </c>
      <c r="F83" s="479">
        <v>-4.5999999999999999E-2</v>
      </c>
      <c r="G83" s="508">
        <v>0</v>
      </c>
      <c r="H83" s="476">
        <v>0</v>
      </c>
      <c r="I83" s="516">
        <v>0</v>
      </c>
      <c r="J83" s="475">
        <v>9.2999999999999999E-2</v>
      </c>
    </row>
    <row r="84" spans="1:10" ht="35.049999999999997" customHeight="1" x14ac:dyDescent="0.3">
      <c r="A84" s="398" t="s">
        <v>694</v>
      </c>
      <c r="B84" s="437" t="s">
        <v>480</v>
      </c>
      <c r="C84" s="405">
        <v>0</v>
      </c>
      <c r="D84" s="481">
        <v>-2.3919999999999999</v>
      </c>
      <c r="E84" s="478">
        <v>-0.53100000000000003</v>
      </c>
      <c r="F84" s="479">
        <v>-4.3999999999999997E-2</v>
      </c>
      <c r="G84" s="508">
        <v>0</v>
      </c>
      <c r="H84" s="476">
        <v>0</v>
      </c>
      <c r="I84" s="516">
        <v>0</v>
      </c>
      <c r="J84" s="475">
        <v>8.6999999999999994E-2</v>
      </c>
    </row>
    <row r="85" spans="1:10" ht="35.049999999999997" customHeight="1" x14ac:dyDescent="0.3">
      <c r="A85" s="398" t="s">
        <v>695</v>
      </c>
      <c r="B85" s="437" t="s">
        <v>480</v>
      </c>
      <c r="C85" s="405">
        <v>0</v>
      </c>
      <c r="D85" s="481">
        <v>-2.2410000000000001</v>
      </c>
      <c r="E85" s="478">
        <v>-0.44900000000000001</v>
      </c>
      <c r="F85" s="479">
        <v>-3.6999999999999998E-2</v>
      </c>
      <c r="G85" s="480">
        <v>58.53</v>
      </c>
      <c r="H85" s="476">
        <v>0</v>
      </c>
      <c r="I85" s="516">
        <v>0</v>
      </c>
      <c r="J85" s="475">
        <v>0.10100000000000001</v>
      </c>
    </row>
    <row r="86" spans="1:10" ht="35.049999999999997" customHeight="1" x14ac:dyDescent="0.3">
      <c r="A86" s="398" t="s">
        <v>842</v>
      </c>
      <c r="B86" s="437" t="s">
        <v>480</v>
      </c>
      <c r="C86" s="405" t="s">
        <v>574</v>
      </c>
      <c r="D86" s="481">
        <v>2.4369999999999998</v>
      </c>
      <c r="E86" s="478">
        <v>0.55100000000000005</v>
      </c>
      <c r="F86" s="479">
        <v>4.5999999999999999E-2</v>
      </c>
      <c r="G86" s="480">
        <v>4.4000000000000004</v>
      </c>
      <c r="H86" s="476">
        <v>0</v>
      </c>
      <c r="I86" s="516">
        <v>0</v>
      </c>
      <c r="J86" s="482">
        <v>0</v>
      </c>
    </row>
    <row r="87" spans="1:10" ht="35.049999999999997" customHeight="1" x14ac:dyDescent="0.3">
      <c r="A87" s="398" t="s">
        <v>843</v>
      </c>
      <c r="B87" s="437" t="s">
        <v>480</v>
      </c>
      <c r="C87" s="405" t="s">
        <v>575</v>
      </c>
      <c r="D87" s="481">
        <v>2.4369999999999998</v>
      </c>
      <c r="E87" s="478">
        <v>0.55100000000000005</v>
      </c>
      <c r="F87" s="479">
        <v>4.5999999999999999E-2</v>
      </c>
      <c r="G87" s="476">
        <v>0</v>
      </c>
      <c r="H87" s="476">
        <v>0</v>
      </c>
      <c r="I87" s="516">
        <v>0</v>
      </c>
      <c r="J87" s="482">
        <v>0</v>
      </c>
    </row>
    <row r="88" spans="1:10" ht="35.049999999999997" customHeight="1" x14ac:dyDescent="0.3">
      <c r="A88" s="398" t="s">
        <v>844</v>
      </c>
      <c r="B88" s="437" t="s">
        <v>480</v>
      </c>
      <c r="C88" s="405" t="s">
        <v>930</v>
      </c>
      <c r="D88" s="481">
        <v>2.2280000000000002</v>
      </c>
      <c r="E88" s="478">
        <v>0.504</v>
      </c>
      <c r="F88" s="479">
        <v>4.2000000000000003E-2</v>
      </c>
      <c r="G88" s="480">
        <v>3.36</v>
      </c>
      <c r="H88" s="476">
        <v>0</v>
      </c>
      <c r="I88" s="516">
        <v>0</v>
      </c>
      <c r="J88" s="482">
        <v>0</v>
      </c>
    </row>
    <row r="89" spans="1:10" ht="35.049999999999997" customHeight="1" x14ac:dyDescent="0.3">
      <c r="A89" s="398" t="s">
        <v>845</v>
      </c>
      <c r="B89" s="437" t="s">
        <v>480</v>
      </c>
      <c r="C89" s="405" t="s">
        <v>930</v>
      </c>
      <c r="D89" s="481">
        <v>2.2280000000000002</v>
      </c>
      <c r="E89" s="478">
        <v>0.504</v>
      </c>
      <c r="F89" s="479">
        <v>4.2000000000000003E-2</v>
      </c>
      <c r="G89" s="480">
        <v>4.5</v>
      </c>
      <c r="H89" s="476">
        <v>0</v>
      </c>
      <c r="I89" s="516">
        <v>0</v>
      </c>
      <c r="J89" s="482">
        <v>0</v>
      </c>
    </row>
    <row r="90" spans="1:10" ht="35.049999999999997" customHeight="1" x14ac:dyDescent="0.3">
      <c r="A90" s="398" t="s">
        <v>846</v>
      </c>
      <c r="B90" s="437" t="s">
        <v>480</v>
      </c>
      <c r="C90" s="405" t="s">
        <v>930</v>
      </c>
      <c r="D90" s="481">
        <v>2.2280000000000002</v>
      </c>
      <c r="E90" s="478">
        <v>0.504</v>
      </c>
      <c r="F90" s="479">
        <v>4.2000000000000003E-2</v>
      </c>
      <c r="G90" s="480">
        <v>8.75</v>
      </c>
      <c r="H90" s="476">
        <v>0</v>
      </c>
      <c r="I90" s="516">
        <v>0</v>
      </c>
      <c r="J90" s="482">
        <v>0</v>
      </c>
    </row>
    <row r="91" spans="1:10" ht="35.049999999999997" customHeight="1" x14ac:dyDescent="0.3">
      <c r="A91" s="398" t="s">
        <v>847</v>
      </c>
      <c r="B91" s="437" t="s">
        <v>480</v>
      </c>
      <c r="C91" s="405" t="s">
        <v>930</v>
      </c>
      <c r="D91" s="481">
        <v>2.2280000000000002</v>
      </c>
      <c r="E91" s="478">
        <v>0.504</v>
      </c>
      <c r="F91" s="479">
        <v>4.2000000000000003E-2</v>
      </c>
      <c r="G91" s="480">
        <v>16.64</v>
      </c>
      <c r="H91" s="476">
        <v>0</v>
      </c>
      <c r="I91" s="516">
        <v>0</v>
      </c>
      <c r="J91" s="482">
        <v>0</v>
      </c>
    </row>
    <row r="92" spans="1:10" ht="35.049999999999997" customHeight="1" x14ac:dyDescent="0.3">
      <c r="A92" s="398" t="s">
        <v>848</v>
      </c>
      <c r="B92" s="437" t="s">
        <v>480</v>
      </c>
      <c r="C92" s="405" t="s">
        <v>930</v>
      </c>
      <c r="D92" s="481">
        <v>2.2280000000000002</v>
      </c>
      <c r="E92" s="478">
        <v>0.504</v>
      </c>
      <c r="F92" s="479">
        <v>4.2000000000000003E-2</v>
      </c>
      <c r="G92" s="480">
        <v>45.62</v>
      </c>
      <c r="H92" s="476">
        <v>0</v>
      </c>
      <c r="I92" s="516">
        <v>0</v>
      </c>
      <c r="J92" s="482">
        <v>0</v>
      </c>
    </row>
    <row r="93" spans="1:10" ht="35.049999999999997" customHeight="1" x14ac:dyDescent="0.3">
      <c r="A93" s="398" t="s">
        <v>588</v>
      </c>
      <c r="B93" s="437" t="s">
        <v>480</v>
      </c>
      <c r="C93" s="405" t="s">
        <v>577</v>
      </c>
      <c r="D93" s="481">
        <v>2.2280000000000002</v>
      </c>
      <c r="E93" s="478">
        <v>0.504</v>
      </c>
      <c r="F93" s="479">
        <v>4.2000000000000003E-2</v>
      </c>
      <c r="G93" s="476">
        <v>0</v>
      </c>
      <c r="H93" s="476">
        <v>0</v>
      </c>
      <c r="I93" s="516">
        <v>0</v>
      </c>
      <c r="J93" s="482">
        <v>0</v>
      </c>
    </row>
    <row r="94" spans="1:10" ht="35.049999999999997" customHeight="1" x14ac:dyDescent="0.3">
      <c r="A94" s="398" t="s">
        <v>849</v>
      </c>
      <c r="B94" s="437" t="s">
        <v>480</v>
      </c>
      <c r="C94" s="405">
        <v>0</v>
      </c>
      <c r="D94" s="481">
        <v>1.6739999999999999</v>
      </c>
      <c r="E94" s="478">
        <v>0.36699999999999999</v>
      </c>
      <c r="F94" s="479">
        <v>0.03</v>
      </c>
      <c r="G94" s="480">
        <v>5.01</v>
      </c>
      <c r="H94" s="480">
        <v>1.2</v>
      </c>
      <c r="I94" s="485">
        <v>2.2799999999999998</v>
      </c>
      <c r="J94" s="475">
        <v>5.7000000000000002E-2</v>
      </c>
    </row>
    <row r="95" spans="1:10" ht="35.049999999999997" customHeight="1" x14ac:dyDescent="0.3">
      <c r="A95" s="398" t="s">
        <v>850</v>
      </c>
      <c r="B95" s="437" t="s">
        <v>480</v>
      </c>
      <c r="C95" s="405">
        <v>0</v>
      </c>
      <c r="D95" s="481">
        <v>1.6739999999999999</v>
      </c>
      <c r="E95" s="478">
        <v>0.36699999999999999</v>
      </c>
      <c r="F95" s="479">
        <v>0.03</v>
      </c>
      <c r="G95" s="480">
        <v>77.12</v>
      </c>
      <c r="H95" s="480">
        <v>1.2</v>
      </c>
      <c r="I95" s="485">
        <v>2.2799999999999998</v>
      </c>
      <c r="J95" s="475">
        <v>5.7000000000000002E-2</v>
      </c>
    </row>
    <row r="96" spans="1:10" ht="35.049999999999997" customHeight="1" x14ac:dyDescent="0.3">
      <c r="A96" s="398" t="s">
        <v>851</v>
      </c>
      <c r="B96" s="437" t="s">
        <v>480</v>
      </c>
      <c r="C96" s="405">
        <v>0</v>
      </c>
      <c r="D96" s="481">
        <v>1.6739999999999999</v>
      </c>
      <c r="E96" s="478">
        <v>0.36699999999999999</v>
      </c>
      <c r="F96" s="479">
        <v>0.03</v>
      </c>
      <c r="G96" s="480">
        <v>132.11000000000001</v>
      </c>
      <c r="H96" s="480">
        <v>1.2</v>
      </c>
      <c r="I96" s="485">
        <v>2.2799999999999998</v>
      </c>
      <c r="J96" s="475">
        <v>5.7000000000000002E-2</v>
      </c>
    </row>
    <row r="97" spans="1:10" ht="35.049999999999997" customHeight="1" x14ac:dyDescent="0.3">
      <c r="A97" s="398" t="s">
        <v>852</v>
      </c>
      <c r="B97" s="437" t="s">
        <v>480</v>
      </c>
      <c r="C97" s="405">
        <v>0</v>
      </c>
      <c r="D97" s="481">
        <v>1.6739999999999999</v>
      </c>
      <c r="E97" s="478">
        <v>0.36699999999999999</v>
      </c>
      <c r="F97" s="479">
        <v>0.03</v>
      </c>
      <c r="G97" s="480">
        <v>209.75</v>
      </c>
      <c r="H97" s="480">
        <v>1.2</v>
      </c>
      <c r="I97" s="485">
        <v>2.2799999999999998</v>
      </c>
      <c r="J97" s="475">
        <v>5.7000000000000002E-2</v>
      </c>
    </row>
    <row r="98" spans="1:10" ht="35.049999999999997" customHeight="1" x14ac:dyDescent="0.3">
      <c r="A98" s="398" t="s">
        <v>853</v>
      </c>
      <c r="B98" s="437" t="s">
        <v>480</v>
      </c>
      <c r="C98" s="405">
        <v>0</v>
      </c>
      <c r="D98" s="481">
        <v>1.6739999999999999</v>
      </c>
      <c r="E98" s="478">
        <v>0.36699999999999999</v>
      </c>
      <c r="F98" s="479">
        <v>0.03</v>
      </c>
      <c r="G98" s="480">
        <v>422.4</v>
      </c>
      <c r="H98" s="480">
        <v>1.2</v>
      </c>
      <c r="I98" s="485">
        <v>2.2799999999999998</v>
      </c>
      <c r="J98" s="475">
        <v>5.7000000000000002E-2</v>
      </c>
    </row>
    <row r="99" spans="1:10" ht="35.049999999999997" customHeight="1" x14ac:dyDescent="0.3">
      <c r="A99" s="398" t="s">
        <v>854</v>
      </c>
      <c r="B99" s="437" t="s">
        <v>480</v>
      </c>
      <c r="C99" s="405">
        <v>0</v>
      </c>
      <c r="D99" s="481">
        <v>1.5009999999999999</v>
      </c>
      <c r="E99" s="478">
        <v>0.30599999999999999</v>
      </c>
      <c r="F99" s="479">
        <v>2.5000000000000001E-2</v>
      </c>
      <c r="G99" s="480">
        <v>5.61</v>
      </c>
      <c r="H99" s="480">
        <v>2.06</v>
      </c>
      <c r="I99" s="485">
        <v>3.04</v>
      </c>
      <c r="J99" s="475">
        <v>5.7000000000000002E-2</v>
      </c>
    </row>
    <row r="100" spans="1:10" ht="35.049999999999997" customHeight="1" x14ac:dyDescent="0.3">
      <c r="A100" s="398" t="s">
        <v>855</v>
      </c>
      <c r="B100" s="437" t="s">
        <v>480</v>
      </c>
      <c r="C100" s="405">
        <v>0</v>
      </c>
      <c r="D100" s="481">
        <v>1.5009999999999999</v>
      </c>
      <c r="E100" s="478">
        <v>0.30599999999999999</v>
      </c>
      <c r="F100" s="479">
        <v>2.5000000000000001E-2</v>
      </c>
      <c r="G100" s="480">
        <v>109.48</v>
      </c>
      <c r="H100" s="480">
        <v>2.06</v>
      </c>
      <c r="I100" s="485">
        <v>3.04</v>
      </c>
      <c r="J100" s="475">
        <v>5.7000000000000002E-2</v>
      </c>
    </row>
    <row r="101" spans="1:10" ht="35.049999999999997" customHeight="1" x14ac:dyDescent="0.3">
      <c r="A101" s="398" t="s">
        <v>856</v>
      </c>
      <c r="B101" s="437" t="s">
        <v>480</v>
      </c>
      <c r="C101" s="405">
        <v>0</v>
      </c>
      <c r="D101" s="481">
        <v>1.5009999999999999</v>
      </c>
      <c r="E101" s="478">
        <v>0.30599999999999999</v>
      </c>
      <c r="F101" s="479">
        <v>2.5000000000000001E-2</v>
      </c>
      <c r="G101" s="480">
        <v>188.69</v>
      </c>
      <c r="H101" s="480">
        <v>2.06</v>
      </c>
      <c r="I101" s="485">
        <v>3.04</v>
      </c>
      <c r="J101" s="475">
        <v>5.7000000000000002E-2</v>
      </c>
    </row>
    <row r="102" spans="1:10" ht="35.049999999999997" customHeight="1" x14ac:dyDescent="0.3">
      <c r="A102" s="398" t="s">
        <v>857</v>
      </c>
      <c r="B102" s="437" t="s">
        <v>480</v>
      </c>
      <c r="C102" s="405">
        <v>0</v>
      </c>
      <c r="D102" s="481">
        <v>1.5009999999999999</v>
      </c>
      <c r="E102" s="478">
        <v>0.30599999999999999</v>
      </c>
      <c r="F102" s="479">
        <v>2.5000000000000001E-2</v>
      </c>
      <c r="G102" s="480">
        <v>300.54000000000002</v>
      </c>
      <c r="H102" s="480">
        <v>2.06</v>
      </c>
      <c r="I102" s="485">
        <v>3.04</v>
      </c>
      <c r="J102" s="475">
        <v>5.7000000000000002E-2</v>
      </c>
    </row>
    <row r="103" spans="1:10" ht="35.049999999999997" customHeight="1" x14ac:dyDescent="0.3">
      <c r="A103" s="398" t="s">
        <v>858</v>
      </c>
      <c r="B103" s="437" t="s">
        <v>480</v>
      </c>
      <c r="C103" s="405">
        <v>0</v>
      </c>
      <c r="D103" s="481">
        <v>1.5009999999999999</v>
      </c>
      <c r="E103" s="478">
        <v>0.30599999999999999</v>
      </c>
      <c r="F103" s="479">
        <v>2.5000000000000001E-2</v>
      </c>
      <c r="G103" s="480">
        <v>606.86</v>
      </c>
      <c r="H103" s="480">
        <v>2.06</v>
      </c>
      <c r="I103" s="485">
        <v>3.04</v>
      </c>
      <c r="J103" s="475">
        <v>5.7000000000000002E-2</v>
      </c>
    </row>
    <row r="104" spans="1:10" ht="35.049999999999997" customHeight="1" x14ac:dyDescent="0.3">
      <c r="A104" s="398" t="s">
        <v>859</v>
      </c>
      <c r="B104" s="437" t="s">
        <v>480</v>
      </c>
      <c r="C104" s="405">
        <v>0</v>
      </c>
      <c r="D104" s="481">
        <v>1.0509999999999999</v>
      </c>
      <c r="E104" s="478">
        <v>0.188</v>
      </c>
      <c r="F104" s="479">
        <v>1.4999999999999999E-2</v>
      </c>
      <c r="G104" s="480">
        <v>56.2</v>
      </c>
      <c r="H104" s="480">
        <v>2.81</v>
      </c>
      <c r="I104" s="485">
        <v>3.99</v>
      </c>
      <c r="J104" s="475">
        <v>3.2000000000000001E-2</v>
      </c>
    </row>
    <row r="105" spans="1:10" ht="35.049999999999997" customHeight="1" x14ac:dyDescent="0.3">
      <c r="A105" s="398" t="s">
        <v>860</v>
      </c>
      <c r="B105" s="437" t="s">
        <v>480</v>
      </c>
      <c r="C105" s="405">
        <v>0</v>
      </c>
      <c r="D105" s="481">
        <v>1.0509999999999999</v>
      </c>
      <c r="E105" s="478">
        <v>0.188</v>
      </c>
      <c r="F105" s="479">
        <v>1.4999999999999999E-2</v>
      </c>
      <c r="G105" s="480">
        <v>601.32000000000005</v>
      </c>
      <c r="H105" s="480">
        <v>2.81</v>
      </c>
      <c r="I105" s="485">
        <v>3.99</v>
      </c>
      <c r="J105" s="475">
        <v>3.2000000000000001E-2</v>
      </c>
    </row>
    <row r="106" spans="1:10" ht="35.049999999999997" customHeight="1" x14ac:dyDescent="0.3">
      <c r="A106" s="398" t="s">
        <v>861</v>
      </c>
      <c r="B106" s="437" t="s">
        <v>480</v>
      </c>
      <c r="C106" s="405">
        <v>0</v>
      </c>
      <c r="D106" s="481">
        <v>1.0509999999999999</v>
      </c>
      <c r="E106" s="478">
        <v>0.188</v>
      </c>
      <c r="F106" s="479">
        <v>1.4999999999999999E-2</v>
      </c>
      <c r="G106" s="480">
        <v>1781.73</v>
      </c>
      <c r="H106" s="480">
        <v>2.81</v>
      </c>
      <c r="I106" s="485">
        <v>3.99</v>
      </c>
      <c r="J106" s="475">
        <v>3.2000000000000001E-2</v>
      </c>
    </row>
    <row r="107" spans="1:10" ht="35.049999999999997" customHeight="1" x14ac:dyDescent="0.3">
      <c r="A107" s="398" t="s">
        <v>862</v>
      </c>
      <c r="B107" s="437" t="s">
        <v>480</v>
      </c>
      <c r="C107" s="405">
        <v>0</v>
      </c>
      <c r="D107" s="481">
        <v>1.0509999999999999</v>
      </c>
      <c r="E107" s="478">
        <v>0.188</v>
      </c>
      <c r="F107" s="479">
        <v>1.4999999999999999E-2</v>
      </c>
      <c r="G107" s="480">
        <v>4032.19</v>
      </c>
      <c r="H107" s="480">
        <v>2.81</v>
      </c>
      <c r="I107" s="485">
        <v>3.99</v>
      </c>
      <c r="J107" s="475">
        <v>3.2000000000000001E-2</v>
      </c>
    </row>
    <row r="108" spans="1:10" ht="35.049999999999997" customHeight="1" x14ac:dyDescent="0.3">
      <c r="A108" s="398" t="s">
        <v>863</v>
      </c>
      <c r="B108" s="437" t="s">
        <v>480</v>
      </c>
      <c r="C108" s="405">
        <v>0</v>
      </c>
      <c r="D108" s="481">
        <v>1.0509999999999999</v>
      </c>
      <c r="E108" s="478">
        <v>0.188</v>
      </c>
      <c r="F108" s="479">
        <v>1.4999999999999999E-2</v>
      </c>
      <c r="G108" s="480">
        <v>10757.9</v>
      </c>
      <c r="H108" s="480">
        <v>2.81</v>
      </c>
      <c r="I108" s="485">
        <v>3.99</v>
      </c>
      <c r="J108" s="475">
        <v>3.2000000000000001E-2</v>
      </c>
    </row>
    <row r="109" spans="1:10" ht="35.049999999999997" customHeight="1" x14ac:dyDescent="0.3">
      <c r="A109" s="398" t="s">
        <v>589</v>
      </c>
      <c r="B109" s="437" t="s">
        <v>480</v>
      </c>
      <c r="C109" s="405" t="s">
        <v>616</v>
      </c>
      <c r="D109" s="477">
        <v>6.306</v>
      </c>
      <c r="E109" s="483">
        <v>1.069</v>
      </c>
      <c r="F109" s="479">
        <v>0.624</v>
      </c>
      <c r="G109" s="476">
        <v>0</v>
      </c>
      <c r="H109" s="476">
        <v>0</v>
      </c>
      <c r="I109" s="516">
        <v>0</v>
      </c>
      <c r="J109" s="482">
        <v>0</v>
      </c>
    </row>
    <row r="110" spans="1:10" ht="35.049999999999997" customHeight="1" x14ac:dyDescent="0.3">
      <c r="A110" s="398" t="s">
        <v>696</v>
      </c>
      <c r="B110" s="437" t="s">
        <v>480</v>
      </c>
      <c r="C110" s="405">
        <v>0</v>
      </c>
      <c r="D110" s="481">
        <v>-2.1070000000000002</v>
      </c>
      <c r="E110" s="478">
        <v>-0.47599999999999998</v>
      </c>
      <c r="F110" s="479">
        <v>-0.04</v>
      </c>
      <c r="G110" s="508">
        <v>0</v>
      </c>
      <c r="H110" s="476">
        <v>0</v>
      </c>
      <c r="I110" s="516">
        <v>0</v>
      </c>
      <c r="J110" s="482">
        <v>0</v>
      </c>
    </row>
    <row r="111" spans="1:10" ht="35.049999999999997" customHeight="1" x14ac:dyDescent="0.3">
      <c r="A111" s="398" t="s">
        <v>697</v>
      </c>
      <c r="B111" s="437" t="s">
        <v>480</v>
      </c>
      <c r="C111" s="405">
        <v>0</v>
      </c>
      <c r="D111" s="481">
        <v>-2.0750000000000002</v>
      </c>
      <c r="E111" s="478">
        <v>-0.46100000000000002</v>
      </c>
      <c r="F111" s="479">
        <v>-3.7999999999999999E-2</v>
      </c>
      <c r="G111" s="508">
        <v>0</v>
      </c>
      <c r="H111" s="476">
        <v>0</v>
      </c>
      <c r="I111" s="516">
        <v>0</v>
      </c>
      <c r="J111" s="482">
        <v>0</v>
      </c>
    </row>
    <row r="112" spans="1:10" ht="35.049999999999997" customHeight="1" x14ac:dyDescent="0.3">
      <c r="A112" s="398" t="s">
        <v>698</v>
      </c>
      <c r="B112" s="437" t="s">
        <v>480</v>
      </c>
      <c r="C112" s="405">
        <v>0</v>
      </c>
      <c r="D112" s="481">
        <v>-2.1070000000000002</v>
      </c>
      <c r="E112" s="478">
        <v>-0.47599999999999998</v>
      </c>
      <c r="F112" s="479">
        <v>-0.04</v>
      </c>
      <c r="G112" s="508">
        <v>0</v>
      </c>
      <c r="H112" s="476">
        <v>0</v>
      </c>
      <c r="I112" s="516">
        <v>0</v>
      </c>
      <c r="J112" s="475">
        <v>8.1000000000000003E-2</v>
      </c>
    </row>
    <row r="113" spans="1:11" ht="35.049999999999997" customHeight="1" x14ac:dyDescent="0.3">
      <c r="A113" s="398" t="s">
        <v>699</v>
      </c>
      <c r="B113" s="437" t="s">
        <v>480</v>
      </c>
      <c r="C113" s="405">
        <v>0</v>
      </c>
      <c r="D113" s="481">
        <v>-2.0750000000000002</v>
      </c>
      <c r="E113" s="478">
        <v>-0.46100000000000002</v>
      </c>
      <c r="F113" s="479">
        <v>-3.7999999999999999E-2</v>
      </c>
      <c r="G113" s="508">
        <v>0</v>
      </c>
      <c r="H113" s="476">
        <v>0</v>
      </c>
      <c r="I113" s="516">
        <v>0</v>
      </c>
      <c r="J113" s="475">
        <v>7.5999999999999998E-2</v>
      </c>
    </row>
    <row r="114" spans="1:11" ht="35.049999999999997" customHeight="1" x14ac:dyDescent="0.3">
      <c r="A114" s="398" t="s">
        <v>700</v>
      </c>
      <c r="B114" s="437" t="s">
        <v>480</v>
      </c>
      <c r="C114" s="405">
        <v>0</v>
      </c>
      <c r="D114" s="481">
        <v>-1.944</v>
      </c>
      <c r="E114" s="478">
        <v>-0.39</v>
      </c>
      <c r="F114" s="479">
        <v>-3.2000000000000001E-2</v>
      </c>
      <c r="G114" s="480">
        <v>50.79</v>
      </c>
      <c r="H114" s="476">
        <v>0</v>
      </c>
      <c r="I114" s="516">
        <v>0</v>
      </c>
      <c r="J114" s="475">
        <v>8.7999999999999995E-2</v>
      </c>
    </row>
    <row r="115" spans="1:11" ht="35.049999999999997" customHeight="1" x14ac:dyDescent="0.3">
      <c r="A115" s="398" t="s">
        <v>864</v>
      </c>
      <c r="B115" s="437" t="s">
        <v>480</v>
      </c>
      <c r="C115" s="405" t="s">
        <v>574</v>
      </c>
      <c r="D115" s="481">
        <v>2.2749999999999999</v>
      </c>
      <c r="E115" s="478">
        <v>0.51400000000000001</v>
      </c>
      <c r="F115" s="479">
        <v>4.2999999999999997E-2</v>
      </c>
      <c r="G115" s="480">
        <v>4.13</v>
      </c>
      <c r="H115" s="476">
        <v>0</v>
      </c>
      <c r="I115" s="516">
        <v>0</v>
      </c>
      <c r="J115" s="482">
        <v>0</v>
      </c>
    </row>
    <row r="116" spans="1:11" ht="35.049999999999997" customHeight="1" x14ac:dyDescent="0.3">
      <c r="A116" s="398" t="s">
        <v>865</v>
      </c>
      <c r="B116" s="437" t="s">
        <v>480</v>
      </c>
      <c r="C116" s="405" t="s">
        <v>575</v>
      </c>
      <c r="D116" s="481">
        <v>2.2749999999999999</v>
      </c>
      <c r="E116" s="478">
        <v>0.51400000000000001</v>
      </c>
      <c r="F116" s="479">
        <v>4.2999999999999997E-2</v>
      </c>
      <c r="G116" s="476">
        <v>0</v>
      </c>
      <c r="H116" s="476">
        <v>0</v>
      </c>
      <c r="I116" s="516">
        <v>0</v>
      </c>
      <c r="J116" s="482">
        <v>0</v>
      </c>
    </row>
    <row r="117" spans="1:11" ht="35.049999999999997" customHeight="1" x14ac:dyDescent="0.3">
      <c r="A117" s="398" t="s">
        <v>866</v>
      </c>
      <c r="B117" s="437" t="s">
        <v>480</v>
      </c>
      <c r="C117" s="405" t="s">
        <v>930</v>
      </c>
      <c r="D117" s="481">
        <v>2.08</v>
      </c>
      <c r="E117" s="478">
        <v>0.47</v>
      </c>
      <c r="F117" s="479">
        <v>3.9E-2</v>
      </c>
      <c r="G117" s="480">
        <v>3.15</v>
      </c>
      <c r="H117" s="476">
        <v>0</v>
      </c>
      <c r="I117" s="516">
        <v>0</v>
      </c>
      <c r="J117" s="482">
        <v>0</v>
      </c>
      <c r="K117" s="1"/>
    </row>
    <row r="118" spans="1:11" ht="35.049999999999997" customHeight="1" x14ac:dyDescent="0.3">
      <c r="A118" s="398" t="s">
        <v>867</v>
      </c>
      <c r="B118" s="437" t="s">
        <v>480</v>
      </c>
      <c r="C118" s="405" t="s">
        <v>930</v>
      </c>
      <c r="D118" s="481">
        <v>2.08</v>
      </c>
      <c r="E118" s="478">
        <v>0.47</v>
      </c>
      <c r="F118" s="479">
        <v>3.9E-2</v>
      </c>
      <c r="G118" s="480">
        <v>4.22</v>
      </c>
      <c r="H118" s="476">
        <v>0</v>
      </c>
      <c r="I118" s="516">
        <v>0</v>
      </c>
      <c r="J118" s="482">
        <v>0</v>
      </c>
      <c r="K118" s="1"/>
    </row>
    <row r="119" spans="1:11" ht="35.049999999999997" customHeight="1" x14ac:dyDescent="0.3">
      <c r="A119" s="398" t="s">
        <v>868</v>
      </c>
      <c r="B119" s="437" t="s">
        <v>480</v>
      </c>
      <c r="C119" s="405" t="s">
        <v>930</v>
      </c>
      <c r="D119" s="481">
        <v>2.08</v>
      </c>
      <c r="E119" s="478">
        <v>0.47</v>
      </c>
      <c r="F119" s="479">
        <v>3.9E-2</v>
      </c>
      <c r="G119" s="480">
        <v>8.19</v>
      </c>
      <c r="H119" s="476">
        <v>0</v>
      </c>
      <c r="I119" s="516">
        <v>0</v>
      </c>
      <c r="J119" s="482">
        <v>0</v>
      </c>
      <c r="K119" s="1"/>
    </row>
    <row r="120" spans="1:11" ht="35.049999999999997" customHeight="1" x14ac:dyDescent="0.3">
      <c r="A120" s="398" t="s">
        <v>869</v>
      </c>
      <c r="B120" s="437" t="s">
        <v>480</v>
      </c>
      <c r="C120" s="405" t="s">
        <v>930</v>
      </c>
      <c r="D120" s="481">
        <v>2.08</v>
      </c>
      <c r="E120" s="478">
        <v>0.47</v>
      </c>
      <c r="F120" s="479">
        <v>3.9E-2</v>
      </c>
      <c r="G120" s="480">
        <v>15.55</v>
      </c>
      <c r="H120" s="476">
        <v>0</v>
      </c>
      <c r="I120" s="516">
        <v>0</v>
      </c>
      <c r="J120" s="482">
        <v>0</v>
      </c>
      <c r="K120" s="1"/>
    </row>
    <row r="121" spans="1:11" ht="35.049999999999997" customHeight="1" x14ac:dyDescent="0.3">
      <c r="A121" s="398" t="s">
        <v>870</v>
      </c>
      <c r="B121" s="437" t="s">
        <v>480</v>
      </c>
      <c r="C121" s="405" t="s">
        <v>930</v>
      </c>
      <c r="D121" s="481">
        <v>2.08</v>
      </c>
      <c r="E121" s="478">
        <v>0.47</v>
      </c>
      <c r="F121" s="479">
        <v>3.9E-2</v>
      </c>
      <c r="G121" s="480">
        <v>42.61</v>
      </c>
      <c r="H121" s="476">
        <v>0</v>
      </c>
      <c r="I121" s="516">
        <v>0</v>
      </c>
      <c r="J121" s="482">
        <v>0</v>
      </c>
      <c r="K121" s="1"/>
    </row>
    <row r="122" spans="1:11" ht="35.049999999999997" customHeight="1" x14ac:dyDescent="0.3">
      <c r="A122" s="398" t="s">
        <v>590</v>
      </c>
      <c r="B122" s="437" t="s">
        <v>480</v>
      </c>
      <c r="C122" s="405" t="s">
        <v>577</v>
      </c>
      <c r="D122" s="481">
        <v>2.08</v>
      </c>
      <c r="E122" s="478">
        <v>0.47</v>
      </c>
      <c r="F122" s="479">
        <v>3.9E-2</v>
      </c>
      <c r="G122" s="476">
        <v>0</v>
      </c>
      <c r="H122" s="476">
        <v>0</v>
      </c>
      <c r="I122" s="516">
        <v>0</v>
      </c>
      <c r="J122" s="482">
        <v>0</v>
      </c>
      <c r="K122" s="1"/>
    </row>
    <row r="123" spans="1:11" ht="35.049999999999997" customHeight="1" x14ac:dyDescent="0.3">
      <c r="A123" s="398" t="s">
        <v>871</v>
      </c>
      <c r="B123" s="437" t="s">
        <v>480</v>
      </c>
      <c r="C123" s="405">
        <v>0</v>
      </c>
      <c r="D123" s="481">
        <v>1.5629999999999999</v>
      </c>
      <c r="E123" s="478">
        <v>0.34300000000000003</v>
      </c>
      <c r="F123" s="479">
        <v>2.8000000000000001E-2</v>
      </c>
      <c r="G123" s="480">
        <v>4.6900000000000004</v>
      </c>
      <c r="H123" s="480">
        <v>1.1200000000000001</v>
      </c>
      <c r="I123" s="485">
        <v>2.13</v>
      </c>
      <c r="J123" s="475">
        <v>5.2999999999999999E-2</v>
      </c>
      <c r="K123" s="1"/>
    </row>
    <row r="124" spans="1:11" ht="35.049999999999997" customHeight="1" x14ac:dyDescent="0.3">
      <c r="A124" s="398" t="s">
        <v>872</v>
      </c>
      <c r="B124" s="437" t="s">
        <v>480</v>
      </c>
      <c r="C124" s="405">
        <v>0</v>
      </c>
      <c r="D124" s="481">
        <v>1.5629999999999999</v>
      </c>
      <c r="E124" s="478">
        <v>0.34300000000000003</v>
      </c>
      <c r="F124" s="479">
        <v>2.8000000000000001E-2</v>
      </c>
      <c r="G124" s="480">
        <v>72.03</v>
      </c>
      <c r="H124" s="480">
        <v>1.1200000000000001</v>
      </c>
      <c r="I124" s="485">
        <v>2.13</v>
      </c>
      <c r="J124" s="475">
        <v>5.2999999999999999E-2</v>
      </c>
      <c r="K124" s="1"/>
    </row>
    <row r="125" spans="1:11" ht="35.049999999999997" customHeight="1" x14ac:dyDescent="0.3">
      <c r="A125" s="398" t="s">
        <v>873</v>
      </c>
      <c r="B125" s="437" t="s">
        <v>480</v>
      </c>
      <c r="C125" s="405">
        <v>0</v>
      </c>
      <c r="D125" s="481">
        <v>1.5629999999999999</v>
      </c>
      <c r="E125" s="478">
        <v>0.34300000000000003</v>
      </c>
      <c r="F125" s="479">
        <v>2.8000000000000001E-2</v>
      </c>
      <c r="G125" s="480">
        <v>123.38</v>
      </c>
      <c r="H125" s="480">
        <v>1.1200000000000001</v>
      </c>
      <c r="I125" s="485">
        <v>2.13</v>
      </c>
      <c r="J125" s="475">
        <v>5.2999999999999999E-2</v>
      </c>
      <c r="K125" s="1"/>
    </row>
    <row r="126" spans="1:11" ht="35.049999999999997" customHeight="1" x14ac:dyDescent="0.3">
      <c r="A126" s="398" t="s">
        <v>874</v>
      </c>
      <c r="B126" s="437" t="s">
        <v>480</v>
      </c>
      <c r="C126" s="405">
        <v>0</v>
      </c>
      <c r="D126" s="481">
        <v>1.5629999999999999</v>
      </c>
      <c r="E126" s="478">
        <v>0.34300000000000003</v>
      </c>
      <c r="F126" s="479">
        <v>2.8000000000000001E-2</v>
      </c>
      <c r="G126" s="480">
        <v>195.89</v>
      </c>
      <c r="H126" s="480">
        <v>1.1200000000000001</v>
      </c>
      <c r="I126" s="485">
        <v>2.13</v>
      </c>
      <c r="J126" s="475">
        <v>5.2999999999999999E-2</v>
      </c>
      <c r="K126" s="1"/>
    </row>
    <row r="127" spans="1:11" ht="35.049999999999997" customHeight="1" x14ac:dyDescent="0.3">
      <c r="A127" s="398" t="s">
        <v>875</v>
      </c>
      <c r="B127" s="437" t="s">
        <v>480</v>
      </c>
      <c r="C127" s="405">
        <v>0</v>
      </c>
      <c r="D127" s="481">
        <v>1.5629999999999999</v>
      </c>
      <c r="E127" s="478">
        <v>0.34300000000000003</v>
      </c>
      <c r="F127" s="479">
        <v>2.8000000000000001E-2</v>
      </c>
      <c r="G127" s="480">
        <v>394.46</v>
      </c>
      <c r="H127" s="480">
        <v>1.1200000000000001</v>
      </c>
      <c r="I127" s="485">
        <v>2.13</v>
      </c>
      <c r="J127" s="475">
        <v>5.2999999999999999E-2</v>
      </c>
      <c r="K127" s="1"/>
    </row>
    <row r="128" spans="1:11" ht="35.049999999999997" customHeight="1" x14ac:dyDescent="0.3">
      <c r="A128" s="398" t="s">
        <v>876</v>
      </c>
      <c r="B128" s="437" t="s">
        <v>480</v>
      </c>
      <c r="C128" s="405">
        <v>0</v>
      </c>
      <c r="D128" s="481">
        <v>1.4019999999999999</v>
      </c>
      <c r="E128" s="478">
        <v>0.28599999999999998</v>
      </c>
      <c r="F128" s="479">
        <v>2.4E-2</v>
      </c>
      <c r="G128" s="480">
        <v>5.25</v>
      </c>
      <c r="H128" s="480">
        <v>1.93</v>
      </c>
      <c r="I128" s="485">
        <v>2.84</v>
      </c>
      <c r="J128" s="475">
        <v>5.2999999999999999E-2</v>
      </c>
      <c r="K128" s="1"/>
    </row>
    <row r="129" spans="1:11" ht="35.049999999999997" customHeight="1" x14ac:dyDescent="0.3">
      <c r="A129" s="398" t="s">
        <v>877</v>
      </c>
      <c r="B129" s="437" t="s">
        <v>480</v>
      </c>
      <c r="C129" s="405">
        <v>0</v>
      </c>
      <c r="D129" s="481">
        <v>1.4019999999999999</v>
      </c>
      <c r="E129" s="478">
        <v>0.28599999999999998</v>
      </c>
      <c r="F129" s="479">
        <v>2.4E-2</v>
      </c>
      <c r="G129" s="480">
        <v>102.25</v>
      </c>
      <c r="H129" s="480">
        <v>1.93</v>
      </c>
      <c r="I129" s="485">
        <v>2.84</v>
      </c>
      <c r="J129" s="475">
        <v>5.2999999999999999E-2</v>
      </c>
      <c r="K129" s="1"/>
    </row>
    <row r="130" spans="1:11" ht="35.049999999999997" customHeight="1" x14ac:dyDescent="0.3">
      <c r="A130" s="398" t="s">
        <v>878</v>
      </c>
      <c r="B130" s="437" t="s">
        <v>480</v>
      </c>
      <c r="C130" s="405">
        <v>0</v>
      </c>
      <c r="D130" s="481">
        <v>1.4019999999999999</v>
      </c>
      <c r="E130" s="478">
        <v>0.28599999999999998</v>
      </c>
      <c r="F130" s="479">
        <v>2.4E-2</v>
      </c>
      <c r="G130" s="480">
        <v>176.22</v>
      </c>
      <c r="H130" s="480">
        <v>1.93</v>
      </c>
      <c r="I130" s="485">
        <v>2.84</v>
      </c>
      <c r="J130" s="475">
        <v>5.2999999999999999E-2</v>
      </c>
      <c r="K130" s="1"/>
    </row>
    <row r="131" spans="1:11" ht="35.049999999999997" customHeight="1" x14ac:dyDescent="0.3">
      <c r="A131" s="398" t="s">
        <v>879</v>
      </c>
      <c r="B131" s="437" t="s">
        <v>480</v>
      </c>
      <c r="C131" s="405">
        <v>0</v>
      </c>
      <c r="D131" s="481">
        <v>1.4019999999999999</v>
      </c>
      <c r="E131" s="478">
        <v>0.28599999999999998</v>
      </c>
      <c r="F131" s="479">
        <v>2.4E-2</v>
      </c>
      <c r="G131" s="480">
        <v>280.66000000000003</v>
      </c>
      <c r="H131" s="480">
        <v>1.93</v>
      </c>
      <c r="I131" s="485">
        <v>2.84</v>
      </c>
      <c r="J131" s="475">
        <v>5.2999999999999999E-2</v>
      </c>
      <c r="K131" s="1"/>
    </row>
    <row r="132" spans="1:11" ht="35.049999999999997" customHeight="1" x14ac:dyDescent="0.3">
      <c r="A132" s="398" t="s">
        <v>880</v>
      </c>
      <c r="B132" s="437" t="s">
        <v>480</v>
      </c>
      <c r="C132" s="405">
        <v>0</v>
      </c>
      <c r="D132" s="481">
        <v>1.4019999999999999</v>
      </c>
      <c r="E132" s="478">
        <v>0.28599999999999998</v>
      </c>
      <c r="F132" s="479">
        <v>2.4E-2</v>
      </c>
      <c r="G132" s="480">
        <v>566.70000000000005</v>
      </c>
      <c r="H132" s="480">
        <v>1.93</v>
      </c>
      <c r="I132" s="485">
        <v>2.84</v>
      </c>
      <c r="J132" s="475">
        <v>5.2999999999999999E-2</v>
      </c>
      <c r="K132" s="1"/>
    </row>
    <row r="133" spans="1:11" ht="35.049999999999997" customHeight="1" x14ac:dyDescent="0.3">
      <c r="A133" s="398" t="s">
        <v>881</v>
      </c>
      <c r="B133" s="437" t="s">
        <v>480</v>
      </c>
      <c r="C133" s="405">
        <v>0</v>
      </c>
      <c r="D133" s="481">
        <v>0.98199999999999998</v>
      </c>
      <c r="E133" s="478">
        <v>0.17499999999999999</v>
      </c>
      <c r="F133" s="479">
        <v>1.4E-2</v>
      </c>
      <c r="G133" s="480">
        <v>52.5</v>
      </c>
      <c r="H133" s="480">
        <v>2.63</v>
      </c>
      <c r="I133" s="485">
        <v>3.72</v>
      </c>
      <c r="J133" s="475">
        <v>0.03</v>
      </c>
      <c r="K133" s="1"/>
    </row>
    <row r="134" spans="1:11" ht="35.049999999999997" customHeight="1" x14ac:dyDescent="0.3">
      <c r="A134" s="398" t="s">
        <v>882</v>
      </c>
      <c r="B134" s="437" t="s">
        <v>480</v>
      </c>
      <c r="C134" s="405">
        <v>0</v>
      </c>
      <c r="D134" s="481">
        <v>0.98199999999999998</v>
      </c>
      <c r="E134" s="478">
        <v>0.17499999999999999</v>
      </c>
      <c r="F134" s="479">
        <v>1.4E-2</v>
      </c>
      <c r="G134" s="480">
        <v>561.54</v>
      </c>
      <c r="H134" s="480">
        <v>2.63</v>
      </c>
      <c r="I134" s="485">
        <v>3.72</v>
      </c>
      <c r="J134" s="475">
        <v>0.03</v>
      </c>
      <c r="K134" s="1"/>
    </row>
    <row r="135" spans="1:11" ht="35.049999999999997" customHeight="1" x14ac:dyDescent="0.3">
      <c r="A135" s="398" t="s">
        <v>883</v>
      </c>
      <c r="B135" s="437" t="s">
        <v>480</v>
      </c>
      <c r="C135" s="405">
        <v>0</v>
      </c>
      <c r="D135" s="481">
        <v>0.98199999999999998</v>
      </c>
      <c r="E135" s="478">
        <v>0.17499999999999999</v>
      </c>
      <c r="F135" s="479">
        <v>1.4E-2</v>
      </c>
      <c r="G135" s="480">
        <v>1663.82</v>
      </c>
      <c r="H135" s="480">
        <v>2.63</v>
      </c>
      <c r="I135" s="485">
        <v>3.72</v>
      </c>
      <c r="J135" s="475">
        <v>0.03</v>
      </c>
      <c r="K135" s="1"/>
    </row>
    <row r="136" spans="1:11" ht="35.049999999999997" customHeight="1" x14ac:dyDescent="0.3">
      <c r="A136" s="398" t="s">
        <v>884</v>
      </c>
      <c r="B136" s="437" t="s">
        <v>480</v>
      </c>
      <c r="C136" s="405">
        <v>0</v>
      </c>
      <c r="D136" s="481">
        <v>0.98199999999999998</v>
      </c>
      <c r="E136" s="478">
        <v>0.17499999999999999</v>
      </c>
      <c r="F136" s="479">
        <v>1.4E-2</v>
      </c>
      <c r="G136" s="480">
        <v>3765.33</v>
      </c>
      <c r="H136" s="480">
        <v>2.63</v>
      </c>
      <c r="I136" s="485">
        <v>3.72</v>
      </c>
      <c r="J136" s="475">
        <v>0.03</v>
      </c>
      <c r="K136" s="1"/>
    </row>
    <row r="137" spans="1:11" ht="35.049999999999997" customHeight="1" x14ac:dyDescent="0.3">
      <c r="A137" s="398" t="s">
        <v>885</v>
      </c>
      <c r="B137" s="437" t="s">
        <v>480</v>
      </c>
      <c r="C137" s="405">
        <v>0</v>
      </c>
      <c r="D137" s="481">
        <v>0.98199999999999998</v>
      </c>
      <c r="E137" s="478">
        <v>0.17499999999999999</v>
      </c>
      <c r="F137" s="479">
        <v>1.4E-2</v>
      </c>
      <c r="G137" s="480">
        <v>10045.89</v>
      </c>
      <c r="H137" s="480">
        <v>2.63</v>
      </c>
      <c r="I137" s="485">
        <v>3.72</v>
      </c>
      <c r="J137" s="475">
        <v>0.03</v>
      </c>
      <c r="K137" s="1"/>
    </row>
    <row r="138" spans="1:11" ht="35.049999999999997" customHeight="1" x14ac:dyDescent="0.3">
      <c r="A138" s="398" t="s">
        <v>591</v>
      </c>
      <c r="B138" s="437" t="s">
        <v>480</v>
      </c>
      <c r="C138" s="405" t="s">
        <v>616</v>
      </c>
      <c r="D138" s="477">
        <v>5.8879999999999999</v>
      </c>
      <c r="E138" s="483">
        <v>0.998</v>
      </c>
      <c r="F138" s="479">
        <v>0.58299999999999996</v>
      </c>
      <c r="G138" s="476">
        <v>0</v>
      </c>
      <c r="H138" s="476">
        <v>0</v>
      </c>
      <c r="I138" s="516">
        <v>0</v>
      </c>
      <c r="J138" s="482">
        <v>0</v>
      </c>
      <c r="K138" s="1"/>
    </row>
    <row r="139" spans="1:11" ht="35.049999999999997" customHeight="1" x14ac:dyDescent="0.3">
      <c r="A139" s="398" t="s">
        <v>701</v>
      </c>
      <c r="B139" s="437" t="s">
        <v>480</v>
      </c>
      <c r="C139" s="405">
        <v>0</v>
      </c>
      <c r="D139" s="481">
        <v>-1.9670000000000001</v>
      </c>
      <c r="E139" s="478">
        <v>-0.44500000000000001</v>
      </c>
      <c r="F139" s="479">
        <v>-3.6999999999999998E-2</v>
      </c>
      <c r="G139" s="508">
        <v>0</v>
      </c>
      <c r="H139" s="476">
        <v>0</v>
      </c>
      <c r="I139" s="516">
        <v>0</v>
      </c>
      <c r="J139" s="482">
        <v>0</v>
      </c>
      <c r="K139" s="1"/>
    </row>
    <row r="140" spans="1:11" ht="35.049999999999997" customHeight="1" x14ac:dyDescent="0.3">
      <c r="A140" s="398" t="s">
        <v>702</v>
      </c>
      <c r="B140" s="437" t="s">
        <v>480</v>
      </c>
      <c r="C140" s="405">
        <v>0</v>
      </c>
      <c r="D140" s="481">
        <v>-1.9379999999999999</v>
      </c>
      <c r="E140" s="478">
        <v>-0.43</v>
      </c>
      <c r="F140" s="479">
        <v>-3.5999999999999997E-2</v>
      </c>
      <c r="G140" s="508">
        <v>0</v>
      </c>
      <c r="H140" s="476">
        <v>0</v>
      </c>
      <c r="I140" s="516">
        <v>0</v>
      </c>
      <c r="J140" s="482">
        <v>0</v>
      </c>
      <c r="K140" s="1"/>
    </row>
    <row r="141" spans="1:11" ht="35.049999999999997" customHeight="1" x14ac:dyDescent="0.3">
      <c r="A141" s="398" t="s">
        <v>703</v>
      </c>
      <c r="B141" s="437" t="s">
        <v>480</v>
      </c>
      <c r="C141" s="405">
        <v>0</v>
      </c>
      <c r="D141" s="481">
        <v>-1.9670000000000001</v>
      </c>
      <c r="E141" s="478">
        <v>-0.44500000000000001</v>
      </c>
      <c r="F141" s="479">
        <v>-3.6999999999999998E-2</v>
      </c>
      <c r="G141" s="508">
        <v>0</v>
      </c>
      <c r="H141" s="476">
        <v>0</v>
      </c>
      <c r="I141" s="516">
        <v>0</v>
      </c>
      <c r="J141" s="475">
        <v>7.4999999999999997E-2</v>
      </c>
    </row>
    <row r="142" spans="1:11" ht="35.049999999999997" customHeight="1" x14ac:dyDescent="0.3">
      <c r="A142" s="398" t="s">
        <v>704</v>
      </c>
      <c r="B142" s="437" t="s">
        <v>480</v>
      </c>
      <c r="C142" s="405">
        <v>0</v>
      </c>
      <c r="D142" s="481">
        <v>-1.9379999999999999</v>
      </c>
      <c r="E142" s="478">
        <v>-0.43</v>
      </c>
      <c r="F142" s="479">
        <v>-3.5999999999999997E-2</v>
      </c>
      <c r="G142" s="508">
        <v>0</v>
      </c>
      <c r="H142" s="476">
        <v>0</v>
      </c>
      <c r="I142" s="516">
        <v>0</v>
      </c>
      <c r="J142" s="475">
        <v>7.0999999999999994E-2</v>
      </c>
    </row>
    <row r="143" spans="1:11" ht="35.049999999999997" customHeight="1" x14ac:dyDescent="0.3">
      <c r="A143" s="398" t="s">
        <v>705</v>
      </c>
      <c r="B143" s="437" t="s">
        <v>480</v>
      </c>
      <c r="C143" s="405">
        <v>0</v>
      </c>
      <c r="D143" s="481">
        <v>-1.8160000000000001</v>
      </c>
      <c r="E143" s="478">
        <v>-0.36399999999999999</v>
      </c>
      <c r="F143" s="479">
        <v>-0.03</v>
      </c>
      <c r="G143" s="480">
        <v>47.43</v>
      </c>
      <c r="H143" s="476">
        <v>0</v>
      </c>
      <c r="I143" s="516">
        <v>0</v>
      </c>
      <c r="J143" s="475">
        <v>8.2000000000000003E-2</v>
      </c>
    </row>
    <row r="144" spans="1:11" ht="35.049999999999997" customHeight="1" x14ac:dyDescent="0.3">
      <c r="A144" s="398" t="s">
        <v>886</v>
      </c>
      <c r="B144" s="437" t="s">
        <v>480</v>
      </c>
      <c r="C144" s="405" t="s">
        <v>574</v>
      </c>
      <c r="D144" s="481">
        <v>1.6919999999999999</v>
      </c>
      <c r="E144" s="478">
        <v>0.38300000000000001</v>
      </c>
      <c r="F144" s="479">
        <v>3.2000000000000001E-2</v>
      </c>
      <c r="G144" s="480">
        <v>3.15</v>
      </c>
      <c r="H144" s="476">
        <v>0</v>
      </c>
      <c r="I144" s="516">
        <v>0</v>
      </c>
      <c r="J144" s="482">
        <v>0</v>
      </c>
    </row>
    <row r="145" spans="1:10" ht="35.049999999999997" customHeight="1" x14ac:dyDescent="0.3">
      <c r="A145" s="398" t="s">
        <v>887</v>
      </c>
      <c r="B145" s="437" t="s">
        <v>480</v>
      </c>
      <c r="C145" s="405" t="s">
        <v>575</v>
      </c>
      <c r="D145" s="481">
        <v>1.6919999999999999</v>
      </c>
      <c r="E145" s="478">
        <v>0.38300000000000001</v>
      </c>
      <c r="F145" s="479">
        <v>3.2000000000000001E-2</v>
      </c>
      <c r="G145" s="476">
        <v>0</v>
      </c>
      <c r="H145" s="476">
        <v>0</v>
      </c>
      <c r="I145" s="516">
        <v>0</v>
      </c>
      <c r="J145" s="482">
        <v>0</v>
      </c>
    </row>
    <row r="146" spans="1:10" ht="35.049999999999997" customHeight="1" x14ac:dyDescent="0.3">
      <c r="A146" s="398" t="s">
        <v>888</v>
      </c>
      <c r="B146" s="437" t="s">
        <v>480</v>
      </c>
      <c r="C146" s="405" t="s">
        <v>930</v>
      </c>
      <c r="D146" s="481">
        <v>1.5469999999999999</v>
      </c>
      <c r="E146" s="478">
        <v>0.35</v>
      </c>
      <c r="F146" s="479">
        <v>2.9000000000000001E-2</v>
      </c>
      <c r="G146" s="480">
        <v>2.4</v>
      </c>
      <c r="H146" s="476">
        <v>0</v>
      </c>
      <c r="I146" s="516">
        <v>0</v>
      </c>
      <c r="J146" s="482">
        <v>0</v>
      </c>
    </row>
    <row r="147" spans="1:10" ht="35.049999999999997" customHeight="1" x14ac:dyDescent="0.3">
      <c r="A147" s="398" t="s">
        <v>889</v>
      </c>
      <c r="B147" s="437" t="s">
        <v>480</v>
      </c>
      <c r="C147" s="405" t="s">
        <v>930</v>
      </c>
      <c r="D147" s="481">
        <v>1.5469999999999999</v>
      </c>
      <c r="E147" s="478">
        <v>0.35</v>
      </c>
      <c r="F147" s="479">
        <v>2.9000000000000001E-2</v>
      </c>
      <c r="G147" s="480">
        <v>3.19</v>
      </c>
      <c r="H147" s="476">
        <v>0</v>
      </c>
      <c r="I147" s="516">
        <v>0</v>
      </c>
      <c r="J147" s="482">
        <v>0</v>
      </c>
    </row>
    <row r="148" spans="1:10" ht="35.049999999999997" customHeight="1" x14ac:dyDescent="0.3">
      <c r="A148" s="398" t="s">
        <v>890</v>
      </c>
      <c r="B148" s="437" t="s">
        <v>480</v>
      </c>
      <c r="C148" s="405" t="s">
        <v>930</v>
      </c>
      <c r="D148" s="481">
        <v>1.5469999999999999</v>
      </c>
      <c r="E148" s="478">
        <v>0.35</v>
      </c>
      <c r="F148" s="479">
        <v>2.9000000000000001E-2</v>
      </c>
      <c r="G148" s="480">
        <v>6.15</v>
      </c>
      <c r="H148" s="476">
        <v>0</v>
      </c>
      <c r="I148" s="516">
        <v>0</v>
      </c>
      <c r="J148" s="482">
        <v>0</v>
      </c>
    </row>
    <row r="149" spans="1:10" ht="35.049999999999997" customHeight="1" x14ac:dyDescent="0.3">
      <c r="A149" s="398" t="s">
        <v>891</v>
      </c>
      <c r="B149" s="437" t="s">
        <v>480</v>
      </c>
      <c r="C149" s="405" t="s">
        <v>930</v>
      </c>
      <c r="D149" s="481">
        <v>1.5469999999999999</v>
      </c>
      <c r="E149" s="478">
        <v>0.35</v>
      </c>
      <c r="F149" s="479">
        <v>2.9000000000000001E-2</v>
      </c>
      <c r="G149" s="480">
        <v>11.62</v>
      </c>
      <c r="H149" s="476">
        <v>0</v>
      </c>
      <c r="I149" s="516">
        <v>0</v>
      </c>
      <c r="J149" s="482">
        <v>0</v>
      </c>
    </row>
    <row r="150" spans="1:10" ht="35.049999999999997" customHeight="1" x14ac:dyDescent="0.3">
      <c r="A150" s="398" t="s">
        <v>892</v>
      </c>
      <c r="B150" s="437" t="s">
        <v>480</v>
      </c>
      <c r="C150" s="405" t="s">
        <v>930</v>
      </c>
      <c r="D150" s="481">
        <v>1.5469999999999999</v>
      </c>
      <c r="E150" s="478">
        <v>0.35</v>
      </c>
      <c r="F150" s="479">
        <v>2.9000000000000001E-2</v>
      </c>
      <c r="G150" s="480">
        <v>31.75</v>
      </c>
      <c r="H150" s="476">
        <v>0</v>
      </c>
      <c r="I150" s="516">
        <v>0</v>
      </c>
      <c r="J150" s="482">
        <v>0</v>
      </c>
    </row>
    <row r="151" spans="1:10" ht="35.049999999999997" customHeight="1" x14ac:dyDescent="0.3">
      <c r="A151" s="398" t="s">
        <v>592</v>
      </c>
      <c r="B151" s="437" t="s">
        <v>480</v>
      </c>
      <c r="C151" s="405" t="s">
        <v>577</v>
      </c>
      <c r="D151" s="481">
        <v>1.5469999999999999</v>
      </c>
      <c r="E151" s="478">
        <v>0.35</v>
      </c>
      <c r="F151" s="479">
        <v>2.9000000000000001E-2</v>
      </c>
      <c r="G151" s="476">
        <v>0</v>
      </c>
      <c r="H151" s="476">
        <v>0</v>
      </c>
      <c r="I151" s="516">
        <v>0</v>
      </c>
      <c r="J151" s="482">
        <v>0</v>
      </c>
    </row>
    <row r="152" spans="1:10" ht="35.049999999999997" customHeight="1" x14ac:dyDescent="0.3">
      <c r="A152" s="398" t="s">
        <v>893</v>
      </c>
      <c r="B152" s="437" t="s">
        <v>480</v>
      </c>
      <c r="C152" s="405">
        <v>0</v>
      </c>
      <c r="D152" s="481">
        <v>1.163</v>
      </c>
      <c r="E152" s="478">
        <v>0.255</v>
      </c>
      <c r="F152" s="479">
        <v>2.1000000000000001E-2</v>
      </c>
      <c r="G152" s="480">
        <v>3.55</v>
      </c>
      <c r="H152" s="480">
        <v>0.84</v>
      </c>
      <c r="I152" s="485">
        <v>1.58</v>
      </c>
      <c r="J152" s="475">
        <v>0.04</v>
      </c>
    </row>
    <row r="153" spans="1:10" ht="35.049999999999997" customHeight="1" x14ac:dyDescent="0.3">
      <c r="A153" s="398" t="s">
        <v>894</v>
      </c>
      <c r="B153" s="437" t="s">
        <v>480</v>
      </c>
      <c r="C153" s="405">
        <v>0</v>
      </c>
      <c r="D153" s="481">
        <v>1.163</v>
      </c>
      <c r="E153" s="478">
        <v>0.255</v>
      </c>
      <c r="F153" s="479">
        <v>2.1000000000000001E-2</v>
      </c>
      <c r="G153" s="480">
        <v>53.62</v>
      </c>
      <c r="H153" s="480">
        <v>0.84</v>
      </c>
      <c r="I153" s="485">
        <v>1.58</v>
      </c>
      <c r="J153" s="475">
        <v>0.04</v>
      </c>
    </row>
    <row r="154" spans="1:10" ht="35.049999999999997" customHeight="1" x14ac:dyDescent="0.3">
      <c r="A154" s="398" t="s">
        <v>895</v>
      </c>
      <c r="B154" s="437" t="s">
        <v>480</v>
      </c>
      <c r="C154" s="405">
        <v>0</v>
      </c>
      <c r="D154" s="481">
        <v>1.163</v>
      </c>
      <c r="E154" s="478">
        <v>0.255</v>
      </c>
      <c r="F154" s="479">
        <v>2.1000000000000001E-2</v>
      </c>
      <c r="G154" s="480">
        <v>91.81</v>
      </c>
      <c r="H154" s="480">
        <v>0.84</v>
      </c>
      <c r="I154" s="485">
        <v>1.58</v>
      </c>
      <c r="J154" s="475">
        <v>0.04</v>
      </c>
    </row>
    <row r="155" spans="1:10" ht="35.049999999999997" customHeight="1" x14ac:dyDescent="0.3">
      <c r="A155" s="398" t="s">
        <v>896</v>
      </c>
      <c r="B155" s="437" t="s">
        <v>480</v>
      </c>
      <c r="C155" s="405">
        <v>0</v>
      </c>
      <c r="D155" s="481">
        <v>1.163</v>
      </c>
      <c r="E155" s="478">
        <v>0.255</v>
      </c>
      <c r="F155" s="479">
        <v>2.1000000000000001E-2</v>
      </c>
      <c r="G155" s="480">
        <v>145.72999999999999</v>
      </c>
      <c r="H155" s="480">
        <v>0.84</v>
      </c>
      <c r="I155" s="485">
        <v>1.58</v>
      </c>
      <c r="J155" s="475">
        <v>0.04</v>
      </c>
    </row>
    <row r="156" spans="1:10" ht="35.049999999999997" customHeight="1" x14ac:dyDescent="0.3">
      <c r="A156" s="398" t="s">
        <v>897</v>
      </c>
      <c r="B156" s="437" t="s">
        <v>480</v>
      </c>
      <c r="C156" s="405">
        <v>0</v>
      </c>
      <c r="D156" s="481">
        <v>1.163</v>
      </c>
      <c r="E156" s="478">
        <v>0.255</v>
      </c>
      <c r="F156" s="479">
        <v>2.1000000000000001E-2</v>
      </c>
      <c r="G156" s="480">
        <v>293.41000000000003</v>
      </c>
      <c r="H156" s="480">
        <v>0.84</v>
      </c>
      <c r="I156" s="485">
        <v>1.58</v>
      </c>
      <c r="J156" s="475">
        <v>0.04</v>
      </c>
    </row>
    <row r="157" spans="1:10" ht="35.049999999999997" customHeight="1" x14ac:dyDescent="0.3">
      <c r="A157" s="398" t="s">
        <v>898</v>
      </c>
      <c r="B157" s="437" t="s">
        <v>480</v>
      </c>
      <c r="C157" s="405">
        <v>0</v>
      </c>
      <c r="D157" s="481">
        <v>1.0429999999999999</v>
      </c>
      <c r="E157" s="478">
        <v>0.21299999999999999</v>
      </c>
      <c r="F157" s="479">
        <v>1.7000000000000001E-2</v>
      </c>
      <c r="G157" s="480">
        <v>3.96</v>
      </c>
      <c r="H157" s="480">
        <v>1.43</v>
      </c>
      <c r="I157" s="485">
        <v>2.11</v>
      </c>
      <c r="J157" s="475">
        <v>3.9E-2</v>
      </c>
    </row>
    <row r="158" spans="1:10" ht="35.049999999999997" customHeight="1" x14ac:dyDescent="0.3">
      <c r="A158" s="398" t="s">
        <v>899</v>
      </c>
      <c r="B158" s="437" t="s">
        <v>480</v>
      </c>
      <c r="C158" s="405">
        <v>0</v>
      </c>
      <c r="D158" s="481">
        <v>1.0429999999999999</v>
      </c>
      <c r="E158" s="478">
        <v>0.21299999999999999</v>
      </c>
      <c r="F158" s="479">
        <v>1.7000000000000001E-2</v>
      </c>
      <c r="G158" s="480">
        <v>76.099999999999994</v>
      </c>
      <c r="H158" s="480">
        <v>1.43</v>
      </c>
      <c r="I158" s="485">
        <v>2.11</v>
      </c>
      <c r="J158" s="475">
        <v>3.9E-2</v>
      </c>
    </row>
    <row r="159" spans="1:10" ht="35.049999999999997" customHeight="1" x14ac:dyDescent="0.3">
      <c r="A159" s="398" t="s">
        <v>900</v>
      </c>
      <c r="B159" s="437" t="s">
        <v>480</v>
      </c>
      <c r="C159" s="405">
        <v>0</v>
      </c>
      <c r="D159" s="481">
        <v>1.0429999999999999</v>
      </c>
      <c r="E159" s="478">
        <v>0.21299999999999999</v>
      </c>
      <c r="F159" s="479">
        <v>1.7000000000000001E-2</v>
      </c>
      <c r="G159" s="480">
        <v>131.11000000000001</v>
      </c>
      <c r="H159" s="480">
        <v>1.43</v>
      </c>
      <c r="I159" s="485">
        <v>2.11</v>
      </c>
      <c r="J159" s="475">
        <v>3.9E-2</v>
      </c>
    </row>
    <row r="160" spans="1:10" ht="35.049999999999997" customHeight="1" x14ac:dyDescent="0.3">
      <c r="A160" s="398" t="s">
        <v>901</v>
      </c>
      <c r="B160" s="437" t="s">
        <v>480</v>
      </c>
      <c r="C160" s="405">
        <v>0</v>
      </c>
      <c r="D160" s="481">
        <v>1.0429999999999999</v>
      </c>
      <c r="E160" s="478">
        <v>0.21299999999999999</v>
      </c>
      <c r="F160" s="479">
        <v>1.7000000000000001E-2</v>
      </c>
      <c r="G160" s="480">
        <v>208.78</v>
      </c>
      <c r="H160" s="480">
        <v>1.43</v>
      </c>
      <c r="I160" s="485">
        <v>2.11</v>
      </c>
      <c r="J160" s="475">
        <v>3.9E-2</v>
      </c>
    </row>
    <row r="161" spans="1:10" ht="35.049999999999997" customHeight="1" x14ac:dyDescent="0.3">
      <c r="A161" s="398" t="s">
        <v>902</v>
      </c>
      <c r="B161" s="437" t="s">
        <v>480</v>
      </c>
      <c r="C161" s="405">
        <v>0</v>
      </c>
      <c r="D161" s="481">
        <v>1.0429999999999999</v>
      </c>
      <c r="E161" s="478">
        <v>0.21299999999999999</v>
      </c>
      <c r="F161" s="479">
        <v>1.7000000000000001E-2</v>
      </c>
      <c r="G161" s="480">
        <v>421.51</v>
      </c>
      <c r="H161" s="480">
        <v>1.43</v>
      </c>
      <c r="I161" s="485">
        <v>2.11</v>
      </c>
      <c r="J161" s="475">
        <v>3.9E-2</v>
      </c>
    </row>
    <row r="162" spans="1:10" ht="35.049999999999997" customHeight="1" x14ac:dyDescent="0.3">
      <c r="A162" s="398" t="s">
        <v>903</v>
      </c>
      <c r="B162" s="437" t="s">
        <v>480</v>
      </c>
      <c r="C162" s="405">
        <v>0</v>
      </c>
      <c r="D162" s="481">
        <v>0.73</v>
      </c>
      <c r="E162" s="478">
        <v>0.13</v>
      </c>
      <c r="F162" s="479">
        <v>0.01</v>
      </c>
      <c r="G162" s="480">
        <v>39.1</v>
      </c>
      <c r="H162" s="480">
        <v>1.95</v>
      </c>
      <c r="I162" s="485">
        <v>2.77</v>
      </c>
      <c r="J162" s="475">
        <v>2.1999999999999999E-2</v>
      </c>
    </row>
    <row r="163" spans="1:10" ht="35.049999999999997" customHeight="1" x14ac:dyDescent="0.3">
      <c r="A163" s="398" t="s">
        <v>904</v>
      </c>
      <c r="B163" s="437" t="s">
        <v>480</v>
      </c>
      <c r="C163" s="405">
        <v>0</v>
      </c>
      <c r="D163" s="481">
        <v>0.73</v>
      </c>
      <c r="E163" s="478">
        <v>0.13</v>
      </c>
      <c r="F163" s="479">
        <v>0.01</v>
      </c>
      <c r="G163" s="480">
        <v>417.66</v>
      </c>
      <c r="H163" s="480">
        <v>1.95</v>
      </c>
      <c r="I163" s="485">
        <v>2.77</v>
      </c>
      <c r="J163" s="475">
        <v>2.1999999999999999E-2</v>
      </c>
    </row>
    <row r="164" spans="1:10" ht="35.049999999999997" customHeight="1" x14ac:dyDescent="0.3">
      <c r="A164" s="398" t="s">
        <v>905</v>
      </c>
      <c r="B164" s="437" t="s">
        <v>480</v>
      </c>
      <c r="C164" s="405">
        <v>0</v>
      </c>
      <c r="D164" s="481">
        <v>0.73</v>
      </c>
      <c r="E164" s="478">
        <v>0.13</v>
      </c>
      <c r="F164" s="479">
        <v>0.01</v>
      </c>
      <c r="G164" s="480">
        <v>1237.4100000000001</v>
      </c>
      <c r="H164" s="480">
        <v>1.95</v>
      </c>
      <c r="I164" s="485">
        <v>2.77</v>
      </c>
      <c r="J164" s="475">
        <v>2.1999999999999999E-2</v>
      </c>
    </row>
    <row r="165" spans="1:10" ht="35.049999999999997" customHeight="1" x14ac:dyDescent="0.3">
      <c r="A165" s="398" t="s">
        <v>906</v>
      </c>
      <c r="B165" s="437" t="s">
        <v>480</v>
      </c>
      <c r="C165" s="405">
        <v>0</v>
      </c>
      <c r="D165" s="481">
        <v>0.73</v>
      </c>
      <c r="E165" s="478">
        <v>0.13</v>
      </c>
      <c r="F165" s="479">
        <v>0.01</v>
      </c>
      <c r="G165" s="480">
        <v>2800.27</v>
      </c>
      <c r="H165" s="480">
        <v>1.95</v>
      </c>
      <c r="I165" s="485">
        <v>2.77</v>
      </c>
      <c r="J165" s="475">
        <v>2.1999999999999999E-2</v>
      </c>
    </row>
    <row r="166" spans="1:10" ht="35.049999999999997" customHeight="1" x14ac:dyDescent="0.3">
      <c r="A166" s="398" t="s">
        <v>907</v>
      </c>
      <c r="B166" s="437" t="s">
        <v>480</v>
      </c>
      <c r="C166" s="405">
        <v>0</v>
      </c>
      <c r="D166" s="481">
        <v>0.73</v>
      </c>
      <c r="E166" s="478">
        <v>0.13</v>
      </c>
      <c r="F166" s="479">
        <v>0.01</v>
      </c>
      <c r="G166" s="480">
        <v>7471.04</v>
      </c>
      <c r="H166" s="480">
        <v>1.95</v>
      </c>
      <c r="I166" s="485">
        <v>2.77</v>
      </c>
      <c r="J166" s="475">
        <v>2.1999999999999999E-2</v>
      </c>
    </row>
    <row r="167" spans="1:10" ht="35.049999999999997" customHeight="1" x14ac:dyDescent="0.3">
      <c r="A167" s="398" t="s">
        <v>593</v>
      </c>
      <c r="B167" s="437" t="s">
        <v>480</v>
      </c>
      <c r="C167" s="405" t="s">
        <v>616</v>
      </c>
      <c r="D167" s="477">
        <v>4.3789999999999996</v>
      </c>
      <c r="E167" s="483">
        <v>0.74199999999999999</v>
      </c>
      <c r="F167" s="479">
        <v>0.433</v>
      </c>
      <c r="G167" s="476">
        <v>0</v>
      </c>
      <c r="H167" s="476">
        <v>0</v>
      </c>
      <c r="I167" s="516">
        <v>0</v>
      </c>
      <c r="J167" s="482">
        <v>0</v>
      </c>
    </row>
    <row r="168" spans="1:10" ht="35.049999999999997" customHeight="1" x14ac:dyDescent="0.3">
      <c r="A168" s="398" t="s">
        <v>706</v>
      </c>
      <c r="B168" s="437" t="s">
        <v>480</v>
      </c>
      <c r="C168" s="405">
        <v>0</v>
      </c>
      <c r="D168" s="481">
        <v>-1.4630000000000001</v>
      </c>
      <c r="E168" s="478">
        <v>-0.33100000000000002</v>
      </c>
      <c r="F168" s="479">
        <v>-2.8000000000000001E-2</v>
      </c>
      <c r="G168" s="508">
        <v>0</v>
      </c>
      <c r="H168" s="476">
        <v>0</v>
      </c>
      <c r="I168" s="516">
        <v>0</v>
      </c>
      <c r="J168" s="482">
        <v>0</v>
      </c>
    </row>
    <row r="169" spans="1:10" ht="35.049999999999997" customHeight="1" x14ac:dyDescent="0.3">
      <c r="A169" s="398" t="s">
        <v>707</v>
      </c>
      <c r="B169" s="437" t="s">
        <v>480</v>
      </c>
      <c r="C169" s="405">
        <v>0</v>
      </c>
      <c r="D169" s="481">
        <v>-1.4410000000000001</v>
      </c>
      <c r="E169" s="478">
        <v>-0.32</v>
      </c>
      <c r="F169" s="479">
        <v>-2.7E-2</v>
      </c>
      <c r="G169" s="508">
        <v>0</v>
      </c>
      <c r="H169" s="476">
        <v>0</v>
      </c>
      <c r="I169" s="516">
        <v>0</v>
      </c>
      <c r="J169" s="482">
        <v>0</v>
      </c>
    </row>
    <row r="170" spans="1:10" ht="35.049999999999997" customHeight="1" x14ac:dyDescent="0.3">
      <c r="A170" s="398" t="s">
        <v>708</v>
      </c>
      <c r="B170" s="437" t="s">
        <v>480</v>
      </c>
      <c r="C170" s="405">
        <v>0</v>
      </c>
      <c r="D170" s="481">
        <v>-1.4630000000000001</v>
      </c>
      <c r="E170" s="478">
        <v>-0.33100000000000002</v>
      </c>
      <c r="F170" s="479">
        <v>-2.8000000000000001E-2</v>
      </c>
      <c r="G170" s="508">
        <v>0</v>
      </c>
      <c r="H170" s="476">
        <v>0</v>
      </c>
      <c r="I170" s="516">
        <v>0</v>
      </c>
      <c r="J170" s="475">
        <v>5.6000000000000001E-2</v>
      </c>
    </row>
    <row r="171" spans="1:10" ht="35.049999999999997" customHeight="1" x14ac:dyDescent="0.3">
      <c r="A171" s="398" t="s">
        <v>709</v>
      </c>
      <c r="B171" s="437" t="s">
        <v>480</v>
      </c>
      <c r="C171" s="405">
        <v>0</v>
      </c>
      <c r="D171" s="481">
        <v>-1.4410000000000001</v>
      </c>
      <c r="E171" s="478">
        <v>-0.32</v>
      </c>
      <c r="F171" s="479">
        <v>-2.7E-2</v>
      </c>
      <c r="G171" s="508">
        <v>0</v>
      </c>
      <c r="H171" s="476">
        <v>0</v>
      </c>
      <c r="I171" s="516">
        <v>0</v>
      </c>
      <c r="J171" s="475">
        <v>5.2999999999999999E-2</v>
      </c>
    </row>
    <row r="172" spans="1:10" ht="35.049999999999997" customHeight="1" x14ac:dyDescent="0.3">
      <c r="A172" s="398" t="s">
        <v>710</v>
      </c>
      <c r="B172" s="437" t="s">
        <v>480</v>
      </c>
      <c r="C172" s="405">
        <v>0</v>
      </c>
      <c r="D172" s="481">
        <v>-1.35</v>
      </c>
      <c r="E172" s="478">
        <v>-0.27100000000000002</v>
      </c>
      <c r="F172" s="479">
        <v>-2.1999999999999999E-2</v>
      </c>
      <c r="G172" s="480">
        <v>35.270000000000003</v>
      </c>
      <c r="H172" s="476">
        <v>0</v>
      </c>
      <c r="I172" s="516">
        <v>0</v>
      </c>
      <c r="J172" s="475">
        <v>6.0999999999999999E-2</v>
      </c>
    </row>
    <row r="173" spans="1:10" ht="35.049999999999997" customHeight="1" x14ac:dyDescent="0.3">
      <c r="A173" s="398" t="s">
        <v>908</v>
      </c>
      <c r="B173" s="437" t="s">
        <v>480</v>
      </c>
      <c r="C173" s="405" t="s">
        <v>574</v>
      </c>
      <c r="D173" s="481">
        <v>0.58499999999999996</v>
      </c>
      <c r="E173" s="478">
        <v>0.13200000000000001</v>
      </c>
      <c r="F173" s="479">
        <v>1.0999999999999999E-2</v>
      </c>
      <c r="G173" s="480">
        <v>1.3</v>
      </c>
      <c r="H173" s="476">
        <v>0</v>
      </c>
      <c r="I173" s="516">
        <v>0</v>
      </c>
      <c r="J173" s="482">
        <v>0</v>
      </c>
    </row>
    <row r="174" spans="1:10" ht="35.049999999999997" customHeight="1" x14ac:dyDescent="0.3">
      <c r="A174" s="398" t="s">
        <v>909</v>
      </c>
      <c r="B174" s="437" t="s">
        <v>480</v>
      </c>
      <c r="C174" s="405" t="s">
        <v>575</v>
      </c>
      <c r="D174" s="481">
        <v>0.58499999999999996</v>
      </c>
      <c r="E174" s="478">
        <v>0.13200000000000001</v>
      </c>
      <c r="F174" s="479">
        <v>1.0999999999999999E-2</v>
      </c>
      <c r="G174" s="476">
        <v>0</v>
      </c>
      <c r="H174" s="476">
        <v>0</v>
      </c>
      <c r="I174" s="516">
        <v>0</v>
      </c>
      <c r="J174" s="482">
        <v>0</v>
      </c>
    </row>
    <row r="175" spans="1:10" ht="35.049999999999997" customHeight="1" x14ac:dyDescent="0.3">
      <c r="A175" s="398" t="s">
        <v>910</v>
      </c>
      <c r="B175" s="437" t="s">
        <v>480</v>
      </c>
      <c r="C175" s="405" t="s">
        <v>930</v>
      </c>
      <c r="D175" s="481">
        <v>0.53400000000000003</v>
      </c>
      <c r="E175" s="478">
        <v>0.121</v>
      </c>
      <c r="F175" s="479">
        <v>0.01</v>
      </c>
      <c r="G175" s="480">
        <v>0.97</v>
      </c>
      <c r="H175" s="476">
        <v>0</v>
      </c>
      <c r="I175" s="516">
        <v>0</v>
      </c>
      <c r="J175" s="482">
        <v>0</v>
      </c>
    </row>
    <row r="176" spans="1:10" ht="35.049999999999997" customHeight="1" x14ac:dyDescent="0.3">
      <c r="A176" s="398" t="s">
        <v>911</v>
      </c>
      <c r="B176" s="437" t="s">
        <v>480</v>
      </c>
      <c r="C176" s="405" t="s">
        <v>930</v>
      </c>
      <c r="D176" s="481">
        <v>0.53400000000000003</v>
      </c>
      <c r="E176" s="478">
        <v>0.121</v>
      </c>
      <c r="F176" s="479">
        <v>0.01</v>
      </c>
      <c r="G176" s="480">
        <v>1.25</v>
      </c>
      <c r="H176" s="476">
        <v>0</v>
      </c>
      <c r="I176" s="516">
        <v>0</v>
      </c>
      <c r="J176" s="482">
        <v>0</v>
      </c>
    </row>
    <row r="177" spans="1:10" ht="35.049999999999997" customHeight="1" x14ac:dyDescent="0.3">
      <c r="A177" s="398" t="s">
        <v>912</v>
      </c>
      <c r="B177" s="437" t="s">
        <v>480</v>
      </c>
      <c r="C177" s="405" t="s">
        <v>930</v>
      </c>
      <c r="D177" s="481">
        <v>0.53400000000000003</v>
      </c>
      <c r="E177" s="478">
        <v>0.121</v>
      </c>
      <c r="F177" s="479">
        <v>0.01</v>
      </c>
      <c r="G177" s="480">
        <v>2.27</v>
      </c>
      <c r="H177" s="476">
        <v>0</v>
      </c>
      <c r="I177" s="516">
        <v>0</v>
      </c>
      <c r="J177" s="482">
        <v>0</v>
      </c>
    </row>
    <row r="178" spans="1:10" ht="35.049999999999997" customHeight="1" x14ac:dyDescent="0.3">
      <c r="A178" s="398" t="s">
        <v>913</v>
      </c>
      <c r="B178" s="437" t="s">
        <v>480</v>
      </c>
      <c r="C178" s="405" t="s">
        <v>930</v>
      </c>
      <c r="D178" s="481">
        <v>0.53400000000000003</v>
      </c>
      <c r="E178" s="478">
        <v>0.121</v>
      </c>
      <c r="F178" s="479">
        <v>0.01</v>
      </c>
      <c r="G178" s="480">
        <v>4.16</v>
      </c>
      <c r="H178" s="476">
        <v>0</v>
      </c>
      <c r="I178" s="516">
        <v>0</v>
      </c>
      <c r="J178" s="482">
        <v>0</v>
      </c>
    </row>
    <row r="179" spans="1:10" ht="35.049999999999997" customHeight="1" x14ac:dyDescent="0.3">
      <c r="A179" s="398" t="s">
        <v>914</v>
      </c>
      <c r="B179" s="437" t="s">
        <v>480</v>
      </c>
      <c r="C179" s="405" t="s">
        <v>930</v>
      </c>
      <c r="D179" s="481">
        <v>0.53400000000000003</v>
      </c>
      <c r="E179" s="478">
        <v>0.121</v>
      </c>
      <c r="F179" s="479">
        <v>0.01</v>
      </c>
      <c r="G179" s="480">
        <v>11.11</v>
      </c>
      <c r="H179" s="476">
        <v>0</v>
      </c>
      <c r="I179" s="516">
        <v>0</v>
      </c>
      <c r="J179" s="482">
        <v>0</v>
      </c>
    </row>
    <row r="180" spans="1:10" ht="35.049999999999997" customHeight="1" x14ac:dyDescent="0.3">
      <c r="A180" s="398" t="s">
        <v>594</v>
      </c>
      <c r="B180" s="437" t="s">
        <v>480</v>
      </c>
      <c r="C180" s="405" t="s">
        <v>577</v>
      </c>
      <c r="D180" s="481">
        <v>0.53400000000000003</v>
      </c>
      <c r="E180" s="478">
        <v>0.121</v>
      </c>
      <c r="F180" s="479">
        <v>0.01</v>
      </c>
      <c r="G180" s="476">
        <v>0</v>
      </c>
      <c r="H180" s="476">
        <v>0</v>
      </c>
      <c r="I180" s="516">
        <v>0</v>
      </c>
      <c r="J180" s="482">
        <v>0</v>
      </c>
    </row>
    <row r="181" spans="1:10" ht="35.049999999999997" customHeight="1" x14ac:dyDescent="0.3">
      <c r="A181" s="398" t="s">
        <v>915</v>
      </c>
      <c r="B181" s="437" t="s">
        <v>480</v>
      </c>
      <c r="C181" s="405">
        <v>0</v>
      </c>
      <c r="D181" s="481">
        <v>0.40200000000000002</v>
      </c>
      <c r="E181" s="478">
        <v>8.7999999999999995E-2</v>
      </c>
      <c r="F181" s="479">
        <v>7.0000000000000001E-3</v>
      </c>
      <c r="G181" s="480">
        <v>1.37</v>
      </c>
      <c r="H181" s="480">
        <v>0.28999999999999998</v>
      </c>
      <c r="I181" s="485">
        <v>0.55000000000000004</v>
      </c>
      <c r="J181" s="475">
        <v>1.4E-2</v>
      </c>
    </row>
    <row r="182" spans="1:10" ht="35.049999999999997" customHeight="1" x14ac:dyDescent="0.3">
      <c r="A182" s="398" t="s">
        <v>916</v>
      </c>
      <c r="B182" s="437" t="s">
        <v>480</v>
      </c>
      <c r="C182" s="405">
        <v>0</v>
      </c>
      <c r="D182" s="481">
        <v>0.40200000000000002</v>
      </c>
      <c r="E182" s="478">
        <v>8.7999999999999995E-2</v>
      </c>
      <c r="F182" s="479">
        <v>7.0000000000000001E-3</v>
      </c>
      <c r="G182" s="480">
        <v>18.670000000000002</v>
      </c>
      <c r="H182" s="480">
        <v>0.28999999999999998</v>
      </c>
      <c r="I182" s="485">
        <v>0.55000000000000004</v>
      </c>
      <c r="J182" s="475">
        <v>1.4E-2</v>
      </c>
    </row>
    <row r="183" spans="1:10" ht="35.049999999999997" customHeight="1" x14ac:dyDescent="0.3">
      <c r="A183" s="398" t="s">
        <v>917</v>
      </c>
      <c r="B183" s="437" t="s">
        <v>480</v>
      </c>
      <c r="C183" s="405">
        <v>0</v>
      </c>
      <c r="D183" s="481">
        <v>0.40200000000000002</v>
      </c>
      <c r="E183" s="478">
        <v>8.7999999999999995E-2</v>
      </c>
      <c r="F183" s="479">
        <v>7.0000000000000001E-3</v>
      </c>
      <c r="G183" s="480">
        <v>31.87</v>
      </c>
      <c r="H183" s="480">
        <v>0.28999999999999998</v>
      </c>
      <c r="I183" s="485">
        <v>0.55000000000000004</v>
      </c>
      <c r="J183" s="475">
        <v>1.4E-2</v>
      </c>
    </row>
    <row r="184" spans="1:10" ht="35.049999999999997" customHeight="1" x14ac:dyDescent="0.3">
      <c r="A184" s="398" t="s">
        <v>918</v>
      </c>
      <c r="B184" s="437" t="s">
        <v>480</v>
      </c>
      <c r="C184" s="405">
        <v>0</v>
      </c>
      <c r="D184" s="481">
        <v>0.40200000000000002</v>
      </c>
      <c r="E184" s="478">
        <v>8.7999999999999995E-2</v>
      </c>
      <c r="F184" s="479">
        <v>7.0000000000000001E-3</v>
      </c>
      <c r="G184" s="480">
        <v>50.5</v>
      </c>
      <c r="H184" s="480">
        <v>0.28999999999999998</v>
      </c>
      <c r="I184" s="485">
        <v>0.55000000000000004</v>
      </c>
      <c r="J184" s="475">
        <v>1.4E-2</v>
      </c>
    </row>
    <row r="185" spans="1:10" ht="35.049999999999997" customHeight="1" x14ac:dyDescent="0.3">
      <c r="A185" s="398" t="s">
        <v>919</v>
      </c>
      <c r="B185" s="437" t="s">
        <v>480</v>
      </c>
      <c r="C185" s="405">
        <v>0</v>
      </c>
      <c r="D185" s="481">
        <v>0.40200000000000002</v>
      </c>
      <c r="E185" s="478">
        <v>8.7999999999999995E-2</v>
      </c>
      <c r="F185" s="479">
        <v>7.0000000000000001E-3</v>
      </c>
      <c r="G185" s="480">
        <v>101.52</v>
      </c>
      <c r="H185" s="480">
        <v>0.28999999999999998</v>
      </c>
      <c r="I185" s="485">
        <v>0.55000000000000004</v>
      </c>
      <c r="J185" s="475">
        <v>1.4E-2</v>
      </c>
    </row>
    <row r="186" spans="1:10" ht="35.049999999999997" customHeight="1" x14ac:dyDescent="0.3">
      <c r="A186" s="398" t="s">
        <v>920</v>
      </c>
      <c r="B186" s="437" t="s">
        <v>480</v>
      </c>
      <c r="C186" s="405">
        <v>0</v>
      </c>
      <c r="D186" s="481">
        <v>0.36</v>
      </c>
      <c r="E186" s="478">
        <v>7.3999999999999996E-2</v>
      </c>
      <c r="F186" s="479">
        <v>6.0000000000000001E-3</v>
      </c>
      <c r="G186" s="480">
        <v>1.51</v>
      </c>
      <c r="H186" s="480">
        <v>0.5</v>
      </c>
      <c r="I186" s="485">
        <v>0.73</v>
      </c>
      <c r="J186" s="475">
        <v>1.4E-2</v>
      </c>
    </row>
    <row r="187" spans="1:10" ht="35.049999999999997" customHeight="1" x14ac:dyDescent="0.3">
      <c r="A187" s="398" t="s">
        <v>921</v>
      </c>
      <c r="B187" s="437" t="s">
        <v>480</v>
      </c>
      <c r="C187" s="405">
        <v>0</v>
      </c>
      <c r="D187" s="481">
        <v>0.36</v>
      </c>
      <c r="E187" s="478">
        <v>7.3999999999999996E-2</v>
      </c>
      <c r="F187" s="479">
        <v>6.0000000000000001E-3</v>
      </c>
      <c r="G187" s="480">
        <v>26.44</v>
      </c>
      <c r="H187" s="480">
        <v>0.5</v>
      </c>
      <c r="I187" s="485">
        <v>0.73</v>
      </c>
      <c r="J187" s="475">
        <v>1.4E-2</v>
      </c>
    </row>
    <row r="188" spans="1:10" ht="35.049999999999997" customHeight="1" x14ac:dyDescent="0.3">
      <c r="A188" s="398" t="s">
        <v>922</v>
      </c>
      <c r="B188" s="437" t="s">
        <v>480</v>
      </c>
      <c r="C188" s="405">
        <v>0</v>
      </c>
      <c r="D188" s="481">
        <v>0.36</v>
      </c>
      <c r="E188" s="478">
        <v>7.3999999999999996E-2</v>
      </c>
      <c r="F188" s="479">
        <v>6.0000000000000001E-3</v>
      </c>
      <c r="G188" s="480">
        <v>45.44</v>
      </c>
      <c r="H188" s="480">
        <v>0.5</v>
      </c>
      <c r="I188" s="485">
        <v>0.73</v>
      </c>
      <c r="J188" s="475">
        <v>1.4E-2</v>
      </c>
    </row>
    <row r="189" spans="1:10" ht="35.049999999999997" customHeight="1" x14ac:dyDescent="0.3">
      <c r="A189" s="398" t="s">
        <v>923</v>
      </c>
      <c r="B189" s="437" t="s">
        <v>480</v>
      </c>
      <c r="C189" s="405">
        <v>0</v>
      </c>
      <c r="D189" s="481">
        <v>0.36</v>
      </c>
      <c r="E189" s="478">
        <v>7.3999999999999996E-2</v>
      </c>
      <c r="F189" s="479">
        <v>6.0000000000000001E-3</v>
      </c>
      <c r="G189" s="480">
        <v>72.28</v>
      </c>
      <c r="H189" s="480">
        <v>0.5</v>
      </c>
      <c r="I189" s="485">
        <v>0.73</v>
      </c>
      <c r="J189" s="475">
        <v>1.4E-2</v>
      </c>
    </row>
    <row r="190" spans="1:10" ht="35.049999999999997" customHeight="1" x14ac:dyDescent="0.3">
      <c r="A190" s="398" t="s">
        <v>924</v>
      </c>
      <c r="B190" s="437" t="s">
        <v>480</v>
      </c>
      <c r="C190" s="405">
        <v>0</v>
      </c>
      <c r="D190" s="481">
        <v>0.36</v>
      </c>
      <c r="E190" s="478">
        <v>7.3999999999999996E-2</v>
      </c>
      <c r="F190" s="479">
        <v>6.0000000000000001E-3</v>
      </c>
      <c r="G190" s="480">
        <v>145.78</v>
      </c>
      <c r="H190" s="480">
        <v>0.5</v>
      </c>
      <c r="I190" s="485">
        <v>0.73</v>
      </c>
      <c r="J190" s="475">
        <v>1.4E-2</v>
      </c>
    </row>
    <row r="191" spans="1:10" ht="35.049999999999997" customHeight="1" x14ac:dyDescent="0.3">
      <c r="A191" s="398" t="s">
        <v>925</v>
      </c>
      <c r="B191" s="437" t="s">
        <v>480</v>
      </c>
      <c r="C191" s="405">
        <v>0</v>
      </c>
      <c r="D191" s="481">
        <v>0.252</v>
      </c>
      <c r="E191" s="478">
        <v>4.4999999999999998E-2</v>
      </c>
      <c r="F191" s="479">
        <v>4.0000000000000001E-3</v>
      </c>
      <c r="G191" s="480">
        <v>13.65</v>
      </c>
      <c r="H191" s="480">
        <v>0.68</v>
      </c>
      <c r="I191" s="485">
        <v>0.96</v>
      </c>
      <c r="J191" s="475">
        <v>8.0000000000000002E-3</v>
      </c>
    </row>
    <row r="192" spans="1:10" ht="35.049999999999997" customHeight="1" x14ac:dyDescent="0.3">
      <c r="A192" s="398" t="s">
        <v>926</v>
      </c>
      <c r="B192" s="437" t="s">
        <v>480</v>
      </c>
      <c r="C192" s="405">
        <v>0</v>
      </c>
      <c r="D192" s="481">
        <v>0.252</v>
      </c>
      <c r="E192" s="478">
        <v>4.4999999999999998E-2</v>
      </c>
      <c r="F192" s="479">
        <v>4.0000000000000001E-3</v>
      </c>
      <c r="G192" s="480">
        <v>144.44999999999999</v>
      </c>
      <c r="H192" s="480">
        <v>0.68</v>
      </c>
      <c r="I192" s="485">
        <v>0.96</v>
      </c>
      <c r="J192" s="475">
        <v>8.0000000000000002E-3</v>
      </c>
    </row>
    <row r="193" spans="1:10" ht="35.049999999999997" customHeight="1" x14ac:dyDescent="0.3">
      <c r="A193" s="398" t="s">
        <v>927</v>
      </c>
      <c r="B193" s="437" t="s">
        <v>480</v>
      </c>
      <c r="C193" s="405">
        <v>0</v>
      </c>
      <c r="D193" s="481">
        <v>0.252</v>
      </c>
      <c r="E193" s="478">
        <v>4.4999999999999998E-2</v>
      </c>
      <c r="F193" s="479">
        <v>4.0000000000000001E-3</v>
      </c>
      <c r="G193" s="480">
        <v>427.68</v>
      </c>
      <c r="H193" s="480">
        <v>0.68</v>
      </c>
      <c r="I193" s="485">
        <v>0.96</v>
      </c>
      <c r="J193" s="475">
        <v>8.0000000000000002E-3</v>
      </c>
    </row>
    <row r="194" spans="1:10" ht="35.049999999999997" customHeight="1" x14ac:dyDescent="0.3">
      <c r="A194" s="398" t="s">
        <v>928</v>
      </c>
      <c r="B194" s="437" t="s">
        <v>480</v>
      </c>
      <c r="C194" s="405">
        <v>0</v>
      </c>
      <c r="D194" s="481">
        <v>0.252</v>
      </c>
      <c r="E194" s="478">
        <v>4.4999999999999998E-2</v>
      </c>
      <c r="F194" s="479">
        <v>4.0000000000000001E-3</v>
      </c>
      <c r="G194" s="480">
        <v>967.67</v>
      </c>
      <c r="H194" s="480">
        <v>0.68</v>
      </c>
      <c r="I194" s="485">
        <v>0.96</v>
      </c>
      <c r="J194" s="475">
        <v>8.0000000000000002E-3</v>
      </c>
    </row>
    <row r="195" spans="1:10" ht="35.049999999999997" customHeight="1" x14ac:dyDescent="0.3">
      <c r="A195" s="398" t="s">
        <v>929</v>
      </c>
      <c r="B195" s="437" t="s">
        <v>480</v>
      </c>
      <c r="C195" s="405">
        <v>0</v>
      </c>
      <c r="D195" s="481">
        <v>0.252</v>
      </c>
      <c r="E195" s="478">
        <v>4.4999999999999998E-2</v>
      </c>
      <c r="F195" s="479">
        <v>4.0000000000000001E-3</v>
      </c>
      <c r="G195" s="480">
        <v>2581.46</v>
      </c>
      <c r="H195" s="480">
        <v>0.68</v>
      </c>
      <c r="I195" s="485">
        <v>0.96</v>
      </c>
      <c r="J195" s="475">
        <v>8.0000000000000002E-3</v>
      </c>
    </row>
    <row r="196" spans="1:10" ht="35.049999999999997" customHeight="1" x14ac:dyDescent="0.3">
      <c r="A196" s="398" t="s">
        <v>595</v>
      </c>
      <c r="B196" s="437" t="s">
        <v>480</v>
      </c>
      <c r="C196" s="405" t="s">
        <v>616</v>
      </c>
      <c r="D196" s="477">
        <v>1.5129999999999999</v>
      </c>
      <c r="E196" s="483">
        <v>0.25700000000000001</v>
      </c>
      <c r="F196" s="479">
        <v>0.15</v>
      </c>
      <c r="G196" s="476">
        <v>0</v>
      </c>
      <c r="H196" s="476">
        <v>0</v>
      </c>
      <c r="I196" s="516">
        <v>0</v>
      </c>
      <c r="J196" s="482">
        <v>0</v>
      </c>
    </row>
    <row r="197" spans="1:10" ht="35.049999999999997" customHeight="1" x14ac:dyDescent="0.3">
      <c r="A197" s="398" t="s">
        <v>711</v>
      </c>
      <c r="B197" s="437" t="s">
        <v>480</v>
      </c>
      <c r="C197" s="405">
        <v>0</v>
      </c>
      <c r="D197" s="481">
        <v>-0.50600000000000001</v>
      </c>
      <c r="E197" s="478">
        <v>-0.114</v>
      </c>
      <c r="F197" s="479">
        <v>-0.01</v>
      </c>
      <c r="G197" s="508">
        <v>0</v>
      </c>
      <c r="H197" s="476">
        <v>0</v>
      </c>
      <c r="I197" s="516">
        <v>0</v>
      </c>
      <c r="J197" s="482">
        <v>0</v>
      </c>
    </row>
    <row r="198" spans="1:10" ht="35.049999999999997" customHeight="1" x14ac:dyDescent="0.3">
      <c r="A198" s="398" t="s">
        <v>712</v>
      </c>
      <c r="B198" s="437" t="s">
        <v>480</v>
      </c>
      <c r="C198" s="405">
        <v>0</v>
      </c>
      <c r="D198" s="481">
        <v>-0.498</v>
      </c>
      <c r="E198" s="478">
        <v>-0.111</v>
      </c>
      <c r="F198" s="479">
        <v>-8.9999999999999993E-3</v>
      </c>
      <c r="G198" s="508">
        <v>0</v>
      </c>
      <c r="H198" s="476">
        <v>0</v>
      </c>
      <c r="I198" s="516">
        <v>0</v>
      </c>
      <c r="J198" s="482">
        <v>0</v>
      </c>
    </row>
    <row r="199" spans="1:10" ht="35.049999999999997" customHeight="1" x14ac:dyDescent="0.3">
      <c r="A199" s="398" t="s">
        <v>713</v>
      </c>
      <c r="B199" s="437" t="s">
        <v>480</v>
      </c>
      <c r="C199" s="405">
        <v>0</v>
      </c>
      <c r="D199" s="481">
        <v>-0.50600000000000001</v>
      </c>
      <c r="E199" s="478">
        <v>-0.114</v>
      </c>
      <c r="F199" s="479">
        <v>-0.01</v>
      </c>
      <c r="G199" s="508">
        <v>0</v>
      </c>
      <c r="H199" s="476">
        <v>0</v>
      </c>
      <c r="I199" s="516">
        <v>0</v>
      </c>
      <c r="J199" s="475">
        <v>1.9E-2</v>
      </c>
    </row>
    <row r="200" spans="1:10" ht="35.049999999999997" customHeight="1" x14ac:dyDescent="0.3">
      <c r="A200" s="398" t="s">
        <v>714</v>
      </c>
      <c r="B200" s="437" t="s">
        <v>480</v>
      </c>
      <c r="C200" s="405">
        <v>0</v>
      </c>
      <c r="D200" s="481">
        <v>-0.498</v>
      </c>
      <c r="E200" s="478">
        <v>-0.111</v>
      </c>
      <c r="F200" s="479">
        <v>-8.9999999999999993E-3</v>
      </c>
      <c r="G200" s="508">
        <v>0</v>
      </c>
      <c r="H200" s="476">
        <v>0</v>
      </c>
      <c r="I200" s="516">
        <v>0</v>
      </c>
      <c r="J200" s="475">
        <v>1.7999999999999999E-2</v>
      </c>
    </row>
    <row r="201" spans="1:10" ht="35.049999999999997" customHeight="1" x14ac:dyDescent="0.3">
      <c r="A201" s="398" t="s">
        <v>715</v>
      </c>
      <c r="B201" s="437" t="s">
        <v>480</v>
      </c>
      <c r="C201" s="405">
        <v>0</v>
      </c>
      <c r="D201" s="481">
        <v>-0.46700000000000003</v>
      </c>
      <c r="E201" s="478">
        <v>-9.2999999999999999E-2</v>
      </c>
      <c r="F201" s="479">
        <v>-8.0000000000000002E-3</v>
      </c>
      <c r="G201" s="480">
        <v>12.19</v>
      </c>
      <c r="H201" s="476">
        <v>0</v>
      </c>
      <c r="I201" s="516">
        <v>0</v>
      </c>
      <c r="J201" s="475">
        <v>2.1000000000000001E-2</v>
      </c>
    </row>
  </sheetData>
  <mergeCells count="8">
    <mergeCell ref="B10:E10"/>
    <mergeCell ref="G10:H10"/>
    <mergeCell ref="B8:D8"/>
    <mergeCell ref="A2:J2"/>
    <mergeCell ref="A4:D4"/>
    <mergeCell ref="F4:J4"/>
    <mergeCell ref="C9:D9"/>
    <mergeCell ref="H9:J9"/>
  </mergeCells>
  <hyperlinks>
    <hyperlink ref="A1" location="Overview!A1" display="Back to Overview" xr:uid="{00000000-0004-0000-0F00-000000000000}"/>
  </hyperlinks>
  <pageMargins left="0.39370078740157483" right="0.39370078740157483" top="0.51181102362204722" bottom="0.78740157480314965" header="0.27559055118110237" footer="0.27559055118110237"/>
  <pageSetup paperSize="9" scale="16"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44"/>
  <sheetViews>
    <sheetView zoomScale="50" zoomScaleNormal="50"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23" ht="40" customHeight="1" x14ac:dyDescent="0.3">
      <c r="A1" s="56" t="s">
        <v>19</v>
      </c>
      <c r="B1" s="45"/>
      <c r="C1" s="45"/>
      <c r="D1" s="45"/>
      <c r="E1" s="551" t="s">
        <v>463</v>
      </c>
      <c r="F1" s="551"/>
      <c r="G1" s="551"/>
      <c r="H1" s="551"/>
      <c r="I1" s="551"/>
      <c r="J1" s="551"/>
      <c r="K1" s="551"/>
      <c r="L1" s="251"/>
      <c r="M1" s="251"/>
      <c r="N1" s="251"/>
      <c r="O1" s="251"/>
    </row>
    <row r="2" spans="1:23" ht="40" customHeight="1" x14ac:dyDescent="0.3">
      <c r="A2" s="552" t="str">
        <f>Overview!B4&amp;" - Effective from "&amp;Overview!D4&amp;" - Final LV and HV charges in UKPN EPN Area (GSP Group _A)"</f>
        <v>Indigo Power Limited - Effective from 1 April 2023 - Final LV and HV charges in UKPN EPN Area (GSP Group _A)</v>
      </c>
      <c r="B2" s="552"/>
      <c r="C2" s="552"/>
      <c r="D2" s="552"/>
      <c r="E2" s="552"/>
      <c r="F2" s="552"/>
      <c r="G2" s="552"/>
      <c r="H2" s="552"/>
      <c r="I2" s="552"/>
      <c r="J2" s="552"/>
      <c r="K2" s="552"/>
      <c r="L2" s="252"/>
      <c r="M2" s="253"/>
      <c r="N2" s="253"/>
      <c r="O2" s="253"/>
    </row>
    <row r="3" spans="1:23" s="47" customFormat="1" ht="40" customHeight="1" x14ac:dyDescent="0.3">
      <c r="A3" s="45"/>
      <c r="B3" s="45"/>
      <c r="C3" s="45"/>
      <c r="D3" s="45"/>
      <c r="E3" s="45"/>
      <c r="F3" s="45"/>
      <c r="G3" s="45"/>
      <c r="H3" s="45"/>
      <c r="I3" s="45"/>
      <c r="J3" s="45"/>
      <c r="K3" s="45"/>
      <c r="L3" s="46"/>
      <c r="M3" s="46"/>
    </row>
    <row r="4" spans="1:23" ht="40" customHeight="1" x14ac:dyDescent="0.3">
      <c r="A4" s="553" t="s">
        <v>308</v>
      </c>
      <c r="B4" s="554"/>
      <c r="C4" s="554"/>
      <c r="D4" s="554"/>
      <c r="E4" s="555"/>
      <c r="F4" s="45"/>
      <c r="G4" s="553" t="s">
        <v>307</v>
      </c>
      <c r="H4" s="554"/>
      <c r="I4" s="554"/>
      <c r="J4" s="554"/>
      <c r="K4" s="555"/>
    </row>
    <row r="5" spans="1:23" ht="40" customHeight="1" x14ac:dyDescent="0.3">
      <c r="A5" s="468" t="s">
        <v>13</v>
      </c>
      <c r="B5" s="270" t="s">
        <v>299</v>
      </c>
      <c r="C5" s="547" t="s">
        <v>300</v>
      </c>
      <c r="D5" s="548"/>
      <c r="E5" s="42" t="s">
        <v>301</v>
      </c>
      <c r="F5" s="45"/>
      <c r="G5" s="549"/>
      <c r="H5" s="550"/>
      <c r="I5" s="43" t="s">
        <v>305</v>
      </c>
      <c r="J5" s="44" t="s">
        <v>306</v>
      </c>
      <c r="K5" s="42" t="s">
        <v>301</v>
      </c>
      <c r="L5" s="45"/>
      <c r="N5" s="3"/>
    </row>
    <row r="6" spans="1:23" ht="40" customHeight="1" x14ac:dyDescent="0.3">
      <c r="A6" s="105" t="s">
        <v>601</v>
      </c>
      <c r="B6" s="13" t="s">
        <v>465</v>
      </c>
      <c r="C6" s="542" t="s">
        <v>602</v>
      </c>
      <c r="D6" s="543" t="s">
        <v>603</v>
      </c>
      <c r="E6" s="86" t="s">
        <v>604</v>
      </c>
      <c r="F6" s="45"/>
      <c r="G6" s="537" t="s">
        <v>303</v>
      </c>
      <c r="H6" s="538" t="s">
        <v>603</v>
      </c>
      <c r="I6" s="13" t="s">
        <v>465</v>
      </c>
      <c r="J6" s="269" t="s">
        <v>602</v>
      </c>
      <c r="K6" s="86" t="s">
        <v>604</v>
      </c>
      <c r="L6" s="45"/>
      <c r="N6" s="3"/>
    </row>
    <row r="7" spans="1:23" ht="40" customHeight="1" x14ac:dyDescent="0.3">
      <c r="A7" s="105" t="s">
        <v>605</v>
      </c>
      <c r="B7" s="392" t="s">
        <v>480</v>
      </c>
      <c r="C7" s="544" t="s">
        <v>480</v>
      </c>
      <c r="D7" s="545" t="s">
        <v>603</v>
      </c>
      <c r="E7" s="269" t="s">
        <v>606</v>
      </c>
      <c r="F7" s="45"/>
      <c r="G7" s="537" t="s">
        <v>607</v>
      </c>
      <c r="H7" s="538" t="s">
        <v>603</v>
      </c>
      <c r="I7" s="263" t="s">
        <v>603</v>
      </c>
      <c r="J7" s="269" t="s">
        <v>608</v>
      </c>
      <c r="K7" s="86" t="s">
        <v>604</v>
      </c>
      <c r="L7" s="45"/>
      <c r="N7" s="3"/>
    </row>
    <row r="8" spans="1:23" ht="40" customHeight="1" x14ac:dyDescent="0.3">
      <c r="A8" s="465" t="s">
        <v>14</v>
      </c>
      <c r="B8" s="537" t="s">
        <v>15</v>
      </c>
      <c r="C8" s="546" t="s">
        <v>603</v>
      </c>
      <c r="D8" s="546" t="s">
        <v>603</v>
      </c>
      <c r="E8" s="538" t="s">
        <v>603</v>
      </c>
      <c r="F8" s="45"/>
      <c r="G8" s="537" t="s">
        <v>605</v>
      </c>
      <c r="H8" s="538" t="s">
        <v>603</v>
      </c>
      <c r="I8" s="263" t="s">
        <v>603</v>
      </c>
      <c r="J8" s="263" t="s">
        <v>603</v>
      </c>
      <c r="K8" s="269" t="s">
        <v>606</v>
      </c>
      <c r="L8" s="45"/>
      <c r="N8" s="3"/>
    </row>
    <row r="9" spans="1:23" s="47" customFormat="1" ht="40" customHeight="1" x14ac:dyDescent="0.3">
      <c r="A9" s="45"/>
      <c r="B9" s="45"/>
      <c r="C9" s="45"/>
      <c r="D9" s="45"/>
      <c r="E9" s="45"/>
      <c r="F9" s="45"/>
      <c r="G9" s="537" t="s">
        <v>14</v>
      </c>
      <c r="H9" s="538" t="s">
        <v>603</v>
      </c>
      <c r="I9" s="539" t="s">
        <v>466</v>
      </c>
      <c r="J9" s="540" t="s">
        <v>603</v>
      </c>
      <c r="K9" s="541" t="s">
        <v>603</v>
      </c>
      <c r="L9" s="46"/>
      <c r="M9" s="46"/>
    </row>
    <row r="10" spans="1:23" s="47" customFormat="1" ht="40" customHeight="1" x14ac:dyDescent="0.3">
      <c r="A10" s="45"/>
      <c r="B10" s="45"/>
      <c r="C10" s="45"/>
      <c r="D10" s="45"/>
      <c r="E10" s="45" t="s">
        <v>480</v>
      </c>
      <c r="F10" s="45"/>
      <c r="G10" s="50"/>
      <c r="H10" s="50"/>
      <c r="I10" s="50"/>
      <c r="J10" s="50"/>
      <c r="K10" s="50"/>
      <c r="L10" s="46"/>
      <c r="M10" s="46"/>
    </row>
    <row r="11" spans="1:23" ht="75" customHeight="1" x14ac:dyDescent="0.3">
      <c r="A11" s="18" t="s">
        <v>455</v>
      </c>
      <c r="B11" s="356" t="s">
        <v>23</v>
      </c>
      <c r="C11" s="356" t="s">
        <v>24</v>
      </c>
      <c r="D11" s="374" t="s">
        <v>579</v>
      </c>
      <c r="E11" s="374" t="s">
        <v>580</v>
      </c>
      <c r="F11" s="374" t="s">
        <v>581</v>
      </c>
      <c r="G11" s="356" t="s">
        <v>25</v>
      </c>
      <c r="H11" s="356" t="s">
        <v>26</v>
      </c>
      <c r="I11" s="18" t="s">
        <v>456</v>
      </c>
      <c r="J11" s="356" t="s">
        <v>270</v>
      </c>
      <c r="K11" s="356" t="s">
        <v>0</v>
      </c>
      <c r="M11" s="46"/>
      <c r="N11" s="47"/>
      <c r="O11" s="47"/>
      <c r="P11" s="47"/>
      <c r="Q11" s="47"/>
      <c r="R11" s="47"/>
      <c r="S11" s="47"/>
      <c r="T11" s="47"/>
      <c r="U11" s="47"/>
      <c r="V11" s="47"/>
      <c r="W11" s="47"/>
    </row>
    <row r="12" spans="1:23" ht="35.049999999999997" customHeight="1" x14ac:dyDescent="0.3">
      <c r="A12" s="10" t="s">
        <v>744</v>
      </c>
      <c r="B12" s="387" t="s">
        <v>765</v>
      </c>
      <c r="C12" s="375" t="s">
        <v>574</v>
      </c>
      <c r="D12" s="492">
        <v>14.042999999999999</v>
      </c>
      <c r="E12" s="493">
        <v>0.92100000000000004</v>
      </c>
      <c r="F12" s="494">
        <v>0.20899999999999999</v>
      </c>
      <c r="G12" s="489">
        <v>5.19</v>
      </c>
      <c r="H12" s="490"/>
      <c r="I12" s="490"/>
      <c r="J12" s="488"/>
      <c r="K12" s="26" t="s">
        <v>480</v>
      </c>
      <c r="M12" s="46"/>
      <c r="N12" s="47"/>
      <c r="O12" s="47"/>
      <c r="P12" s="47"/>
      <c r="Q12" s="47"/>
      <c r="R12" s="47"/>
      <c r="S12" s="47"/>
      <c r="T12" s="47"/>
      <c r="U12" s="47"/>
      <c r="V12" s="47"/>
      <c r="W12" s="47"/>
    </row>
    <row r="13" spans="1:23" ht="35.049999999999997" customHeight="1" x14ac:dyDescent="0.3">
      <c r="A13" s="10" t="s">
        <v>571</v>
      </c>
      <c r="B13" s="387" t="s">
        <v>766</v>
      </c>
      <c r="C13" s="375" t="s">
        <v>575</v>
      </c>
      <c r="D13" s="492">
        <v>14.042999999999999</v>
      </c>
      <c r="E13" s="493">
        <v>0.92100000000000004</v>
      </c>
      <c r="F13" s="494">
        <v>0.20899999999999999</v>
      </c>
      <c r="G13" s="490"/>
      <c r="H13" s="490"/>
      <c r="I13" s="490"/>
      <c r="J13" s="488"/>
      <c r="K13" s="26" t="s">
        <v>480</v>
      </c>
      <c r="M13" s="46"/>
      <c r="N13" s="47"/>
      <c r="O13" s="47"/>
      <c r="P13" s="47"/>
      <c r="Q13" s="47"/>
      <c r="R13" s="47"/>
      <c r="S13" s="47"/>
      <c r="T13" s="47"/>
      <c r="U13" s="47"/>
      <c r="V13" s="47"/>
      <c r="W13" s="47"/>
    </row>
    <row r="14" spans="1:23" ht="35.049999999999997" customHeight="1" x14ac:dyDescent="0.3">
      <c r="A14" s="10" t="s">
        <v>745</v>
      </c>
      <c r="B14" s="387" t="s">
        <v>778</v>
      </c>
      <c r="C14" s="409" t="s">
        <v>640</v>
      </c>
      <c r="D14" s="492">
        <v>13.449</v>
      </c>
      <c r="E14" s="493">
        <v>0.88200000000000001</v>
      </c>
      <c r="F14" s="494">
        <v>0.20100000000000001</v>
      </c>
      <c r="G14" s="489">
        <v>4.41</v>
      </c>
      <c r="H14" s="490"/>
      <c r="I14" s="490"/>
      <c r="J14" s="488"/>
      <c r="K14" s="26"/>
      <c r="M14" s="46"/>
      <c r="N14" s="47"/>
      <c r="O14" s="47"/>
      <c r="P14" s="47"/>
      <c r="Q14" s="47"/>
      <c r="R14" s="47"/>
      <c r="S14" s="47"/>
      <c r="T14" s="47"/>
      <c r="U14" s="47"/>
      <c r="V14" s="47"/>
      <c r="W14" s="47"/>
    </row>
    <row r="15" spans="1:23" ht="35.049999999999997" customHeight="1" x14ac:dyDescent="0.3">
      <c r="A15" s="10" t="s">
        <v>746</v>
      </c>
      <c r="B15" s="387" t="s">
        <v>767</v>
      </c>
      <c r="C15" s="409" t="s">
        <v>640</v>
      </c>
      <c r="D15" s="492">
        <v>13.449</v>
      </c>
      <c r="E15" s="493">
        <v>0.88200000000000001</v>
      </c>
      <c r="F15" s="494">
        <v>0.20100000000000001</v>
      </c>
      <c r="G15" s="489">
        <v>4.7</v>
      </c>
      <c r="H15" s="490"/>
      <c r="I15" s="490"/>
      <c r="J15" s="488"/>
      <c r="K15" s="26" t="s">
        <v>480</v>
      </c>
      <c r="M15" s="46"/>
      <c r="N15" s="47"/>
      <c r="O15" s="47"/>
      <c r="P15" s="47"/>
      <c r="Q15" s="47"/>
      <c r="R15" s="47"/>
      <c r="S15" s="47"/>
      <c r="T15" s="47"/>
      <c r="U15" s="47"/>
      <c r="V15" s="47"/>
      <c r="W15" s="47"/>
    </row>
    <row r="16" spans="1:23" ht="35.049999999999997" customHeight="1" x14ac:dyDescent="0.3">
      <c r="A16" s="10" t="s">
        <v>747</v>
      </c>
      <c r="B16" s="27" t="s">
        <v>768</v>
      </c>
      <c r="C16" s="409" t="s">
        <v>640</v>
      </c>
      <c r="D16" s="492">
        <v>13.449</v>
      </c>
      <c r="E16" s="493">
        <v>0.88200000000000001</v>
      </c>
      <c r="F16" s="494">
        <v>0.20100000000000001</v>
      </c>
      <c r="G16" s="489">
        <v>6.04</v>
      </c>
      <c r="H16" s="490"/>
      <c r="I16" s="490"/>
      <c r="J16" s="488"/>
      <c r="K16" s="26"/>
      <c r="M16" s="46"/>
      <c r="N16" s="47"/>
      <c r="O16" s="47"/>
      <c r="P16" s="47"/>
      <c r="Q16" s="47"/>
      <c r="R16" s="47"/>
      <c r="S16" s="47"/>
      <c r="T16" s="47"/>
      <c r="U16" s="47"/>
      <c r="V16" s="47"/>
      <c r="W16" s="47"/>
    </row>
    <row r="17" spans="1:23" ht="35.049999999999997" customHeight="1" x14ac:dyDescent="0.3">
      <c r="A17" s="10" t="s">
        <v>748</v>
      </c>
      <c r="B17" s="27" t="s">
        <v>769</v>
      </c>
      <c r="C17" s="409" t="s">
        <v>640</v>
      </c>
      <c r="D17" s="492">
        <v>13.449</v>
      </c>
      <c r="E17" s="493">
        <v>0.88200000000000001</v>
      </c>
      <c r="F17" s="494">
        <v>0.20100000000000001</v>
      </c>
      <c r="G17" s="489">
        <v>8.4700000000000006</v>
      </c>
      <c r="H17" s="490"/>
      <c r="I17" s="490"/>
      <c r="J17" s="488"/>
      <c r="K17" s="26"/>
      <c r="M17" s="46"/>
      <c r="N17" s="47"/>
      <c r="O17" s="47"/>
      <c r="P17" s="47"/>
      <c r="Q17" s="47"/>
      <c r="R17" s="47"/>
      <c r="S17" s="47"/>
      <c r="T17" s="47"/>
      <c r="U17" s="47"/>
      <c r="V17" s="47"/>
      <c r="W17" s="47"/>
    </row>
    <row r="18" spans="1:23" ht="35.049999999999997" customHeight="1" x14ac:dyDescent="0.3">
      <c r="A18" s="10" t="s">
        <v>749</v>
      </c>
      <c r="B18" s="27" t="s">
        <v>770</v>
      </c>
      <c r="C18" s="409" t="s">
        <v>640</v>
      </c>
      <c r="D18" s="492">
        <v>13.449</v>
      </c>
      <c r="E18" s="493">
        <v>0.88200000000000001</v>
      </c>
      <c r="F18" s="494">
        <v>0.20100000000000001</v>
      </c>
      <c r="G18" s="489">
        <v>16.95</v>
      </c>
      <c r="H18" s="490"/>
      <c r="I18" s="490"/>
      <c r="J18" s="488"/>
      <c r="K18" s="26"/>
      <c r="M18" s="46"/>
      <c r="N18" s="47"/>
      <c r="O18" s="47"/>
      <c r="P18" s="47"/>
      <c r="Q18" s="47"/>
      <c r="R18" s="47"/>
      <c r="S18" s="47"/>
      <c r="T18" s="47"/>
      <c r="U18" s="47"/>
      <c r="V18" s="47"/>
      <c r="W18" s="47"/>
    </row>
    <row r="19" spans="1:23" ht="35.049999999999997" customHeight="1" x14ac:dyDescent="0.3">
      <c r="A19" s="10" t="s">
        <v>572</v>
      </c>
      <c r="B19" s="27" t="s">
        <v>771</v>
      </c>
      <c r="C19" s="391" t="s">
        <v>577</v>
      </c>
      <c r="D19" s="492">
        <v>13.449</v>
      </c>
      <c r="E19" s="493">
        <v>0.88200000000000001</v>
      </c>
      <c r="F19" s="494">
        <v>0.20100000000000001</v>
      </c>
      <c r="G19" s="490"/>
      <c r="H19" s="490"/>
      <c r="I19" s="490"/>
      <c r="J19" s="488"/>
      <c r="K19" s="26" t="s">
        <v>480</v>
      </c>
      <c r="M19" s="46"/>
      <c r="N19" s="47"/>
      <c r="O19" s="47"/>
      <c r="P19" s="47"/>
      <c r="Q19" s="47"/>
      <c r="R19" s="47"/>
      <c r="S19" s="47"/>
      <c r="T19" s="47"/>
      <c r="U19" s="47"/>
      <c r="V19" s="47"/>
      <c r="W19" s="47"/>
    </row>
    <row r="20" spans="1:23" ht="35.049999999999997" customHeight="1" x14ac:dyDescent="0.3">
      <c r="A20" s="10" t="s">
        <v>750</v>
      </c>
      <c r="B20" s="24" t="s">
        <v>772</v>
      </c>
      <c r="C20" s="395">
        <v>0</v>
      </c>
      <c r="D20" s="492">
        <v>9.4499999999999993</v>
      </c>
      <c r="E20" s="493">
        <v>0.59099999999999997</v>
      </c>
      <c r="F20" s="494">
        <v>0.13400000000000001</v>
      </c>
      <c r="G20" s="489">
        <v>13</v>
      </c>
      <c r="H20" s="489">
        <v>3.48</v>
      </c>
      <c r="I20" s="491">
        <v>7.33</v>
      </c>
      <c r="J20" s="487">
        <v>0.36399999999999999</v>
      </c>
      <c r="K20" s="26"/>
      <c r="M20" s="46"/>
      <c r="N20" s="47"/>
      <c r="O20" s="47"/>
      <c r="P20" s="47"/>
      <c r="Q20" s="47"/>
      <c r="R20" s="47"/>
      <c r="S20" s="47"/>
      <c r="T20" s="47"/>
      <c r="U20" s="47"/>
      <c r="V20" s="47"/>
      <c r="W20" s="47"/>
    </row>
    <row r="21" spans="1:23" ht="35.049999999999997" customHeight="1" x14ac:dyDescent="0.3">
      <c r="A21" s="10" t="s">
        <v>751</v>
      </c>
      <c r="B21" s="26" t="s">
        <v>773</v>
      </c>
      <c r="C21" s="395">
        <v>0</v>
      </c>
      <c r="D21" s="492">
        <v>9.4499999999999993</v>
      </c>
      <c r="E21" s="493">
        <v>0.59099999999999997</v>
      </c>
      <c r="F21" s="494">
        <v>0.13400000000000001</v>
      </c>
      <c r="G21" s="489">
        <v>32.42</v>
      </c>
      <c r="H21" s="489">
        <v>3.48</v>
      </c>
      <c r="I21" s="491">
        <v>7.33</v>
      </c>
      <c r="J21" s="487">
        <v>0.36399999999999999</v>
      </c>
      <c r="K21" s="26"/>
      <c r="M21" s="46"/>
      <c r="N21" s="47"/>
      <c r="O21" s="47"/>
      <c r="P21" s="47"/>
      <c r="Q21" s="47"/>
      <c r="R21" s="47"/>
      <c r="S21" s="47"/>
      <c r="T21" s="47"/>
      <c r="U21" s="47"/>
      <c r="V21" s="47"/>
      <c r="W21" s="47"/>
    </row>
    <row r="22" spans="1:23" ht="35.049999999999997" customHeight="1" x14ac:dyDescent="0.3">
      <c r="A22" s="10" t="s">
        <v>752</v>
      </c>
      <c r="B22" s="26" t="s">
        <v>774</v>
      </c>
      <c r="C22" s="395">
        <v>0</v>
      </c>
      <c r="D22" s="492">
        <v>9.4499999999999993</v>
      </c>
      <c r="E22" s="493">
        <v>0.59099999999999997</v>
      </c>
      <c r="F22" s="494">
        <v>0.13400000000000001</v>
      </c>
      <c r="G22" s="489">
        <v>42.07</v>
      </c>
      <c r="H22" s="489">
        <v>3.48</v>
      </c>
      <c r="I22" s="491">
        <v>7.33</v>
      </c>
      <c r="J22" s="487">
        <v>0.36399999999999999</v>
      </c>
      <c r="K22" s="26"/>
      <c r="M22" s="46"/>
      <c r="N22" s="47"/>
      <c r="O22" s="47"/>
      <c r="P22" s="47"/>
      <c r="Q22" s="47"/>
      <c r="R22" s="47"/>
      <c r="S22" s="47"/>
      <c r="T22" s="47"/>
      <c r="U22" s="47"/>
      <c r="V22" s="47"/>
      <c r="W22" s="47"/>
    </row>
    <row r="23" spans="1:23" ht="35.049999999999997" customHeight="1" x14ac:dyDescent="0.3">
      <c r="A23" s="10" t="s">
        <v>753</v>
      </c>
      <c r="B23" s="26" t="s">
        <v>775</v>
      </c>
      <c r="C23" s="395">
        <v>0</v>
      </c>
      <c r="D23" s="492">
        <v>9.4499999999999993</v>
      </c>
      <c r="E23" s="493">
        <v>0.59099999999999997</v>
      </c>
      <c r="F23" s="494">
        <v>0.13400000000000001</v>
      </c>
      <c r="G23" s="489">
        <v>62.48</v>
      </c>
      <c r="H23" s="489">
        <v>3.48</v>
      </c>
      <c r="I23" s="491">
        <v>7.33</v>
      </c>
      <c r="J23" s="487">
        <v>0.36399999999999999</v>
      </c>
      <c r="K23" s="26"/>
      <c r="M23" s="46"/>
      <c r="N23" s="47"/>
      <c r="O23" s="47"/>
      <c r="P23" s="47"/>
      <c r="Q23" s="47"/>
      <c r="R23" s="47"/>
      <c r="S23" s="47"/>
      <c r="T23" s="47"/>
      <c r="U23" s="47"/>
      <c r="V23" s="47"/>
      <c r="W23" s="47"/>
    </row>
    <row r="24" spans="1:23" ht="35.049999999999997" customHeight="1" x14ac:dyDescent="0.3">
      <c r="A24" s="10" t="s">
        <v>754</v>
      </c>
      <c r="B24" s="26" t="s">
        <v>776</v>
      </c>
      <c r="C24" s="395">
        <v>0</v>
      </c>
      <c r="D24" s="492">
        <v>9.4499999999999993</v>
      </c>
      <c r="E24" s="493">
        <v>0.59099999999999997</v>
      </c>
      <c r="F24" s="494">
        <v>0.13400000000000001</v>
      </c>
      <c r="G24" s="489">
        <v>119.19</v>
      </c>
      <c r="H24" s="489">
        <v>3.48</v>
      </c>
      <c r="I24" s="491">
        <v>7.33</v>
      </c>
      <c r="J24" s="487">
        <v>0.36399999999999999</v>
      </c>
      <c r="K24" s="26"/>
      <c r="M24" s="46"/>
      <c r="N24" s="47"/>
      <c r="O24" s="47"/>
      <c r="P24" s="47"/>
      <c r="Q24" s="47"/>
      <c r="R24" s="47"/>
      <c r="S24" s="47"/>
      <c r="T24" s="47"/>
      <c r="U24" s="47"/>
      <c r="V24" s="47"/>
      <c r="W24" s="47"/>
    </row>
    <row r="25" spans="1:23" ht="35.049999999999997" customHeight="1" x14ac:dyDescent="0.3">
      <c r="A25" s="10" t="s">
        <v>755</v>
      </c>
      <c r="B25" s="392" t="s">
        <v>480</v>
      </c>
      <c r="C25" s="395">
        <v>0</v>
      </c>
      <c r="D25" s="492">
        <v>6.1909999999999998</v>
      </c>
      <c r="E25" s="493">
        <v>0.35299999999999998</v>
      </c>
      <c r="F25" s="494">
        <v>0.08</v>
      </c>
      <c r="G25" s="489">
        <v>10.130000000000001</v>
      </c>
      <c r="H25" s="489">
        <v>4.5</v>
      </c>
      <c r="I25" s="491">
        <v>5.87</v>
      </c>
      <c r="J25" s="487">
        <v>0.22</v>
      </c>
      <c r="K25" s="26"/>
      <c r="M25" s="46"/>
      <c r="N25" s="47"/>
      <c r="O25" s="47"/>
      <c r="P25" s="47"/>
      <c r="Q25" s="47"/>
      <c r="R25" s="47"/>
      <c r="S25" s="47"/>
      <c r="T25" s="47"/>
      <c r="U25" s="47"/>
      <c r="V25" s="47"/>
      <c r="W25" s="47"/>
    </row>
    <row r="26" spans="1:23" ht="35.049999999999997" customHeight="1" x14ac:dyDescent="0.3">
      <c r="A26" s="10" t="s">
        <v>756</v>
      </c>
      <c r="B26" s="392" t="s">
        <v>480</v>
      </c>
      <c r="C26" s="395">
        <v>0</v>
      </c>
      <c r="D26" s="492">
        <v>6.1909999999999998</v>
      </c>
      <c r="E26" s="493">
        <v>0.35299999999999998</v>
      </c>
      <c r="F26" s="494">
        <v>0.08</v>
      </c>
      <c r="G26" s="489">
        <v>29.55</v>
      </c>
      <c r="H26" s="489">
        <v>4.5</v>
      </c>
      <c r="I26" s="491">
        <v>5.87</v>
      </c>
      <c r="J26" s="487">
        <v>0.22</v>
      </c>
      <c r="K26" s="26"/>
      <c r="M26" s="46"/>
      <c r="N26" s="47"/>
      <c r="O26" s="47"/>
      <c r="P26" s="47"/>
      <c r="Q26" s="47"/>
      <c r="R26" s="47"/>
      <c r="S26" s="47"/>
      <c r="T26" s="47"/>
      <c r="U26" s="47"/>
      <c r="V26" s="47"/>
      <c r="W26" s="47"/>
    </row>
    <row r="27" spans="1:23" ht="35.049999999999997" customHeight="1" x14ac:dyDescent="0.3">
      <c r="A27" s="10" t="s">
        <v>757</v>
      </c>
      <c r="B27" s="392" t="s">
        <v>480</v>
      </c>
      <c r="C27" s="395">
        <v>0</v>
      </c>
      <c r="D27" s="492">
        <v>6.1909999999999998</v>
      </c>
      <c r="E27" s="493">
        <v>0.35299999999999998</v>
      </c>
      <c r="F27" s="494">
        <v>0.08</v>
      </c>
      <c r="G27" s="489">
        <v>39.200000000000003</v>
      </c>
      <c r="H27" s="489">
        <v>4.5</v>
      </c>
      <c r="I27" s="491">
        <v>5.87</v>
      </c>
      <c r="J27" s="487">
        <v>0.22</v>
      </c>
      <c r="K27" s="26"/>
      <c r="M27" s="46"/>
      <c r="N27" s="47"/>
      <c r="O27" s="47"/>
      <c r="P27" s="47"/>
      <c r="Q27" s="47"/>
      <c r="R27" s="47"/>
      <c r="S27" s="47"/>
      <c r="T27" s="47"/>
      <c r="U27" s="47"/>
      <c r="V27" s="47"/>
      <c r="W27" s="47"/>
    </row>
    <row r="28" spans="1:23" ht="35.049999999999997" customHeight="1" x14ac:dyDescent="0.3">
      <c r="A28" s="10" t="s">
        <v>758</v>
      </c>
      <c r="B28" s="392" t="s">
        <v>480</v>
      </c>
      <c r="C28" s="395">
        <v>0</v>
      </c>
      <c r="D28" s="492">
        <v>6.1909999999999998</v>
      </c>
      <c r="E28" s="493">
        <v>0.35299999999999998</v>
      </c>
      <c r="F28" s="494">
        <v>0.08</v>
      </c>
      <c r="G28" s="489">
        <v>59.6</v>
      </c>
      <c r="H28" s="489">
        <v>4.5</v>
      </c>
      <c r="I28" s="491">
        <v>5.87</v>
      </c>
      <c r="J28" s="487">
        <v>0.22</v>
      </c>
      <c r="K28" s="26"/>
      <c r="M28" s="46"/>
      <c r="N28" s="47"/>
      <c r="O28" s="47"/>
      <c r="P28" s="47"/>
      <c r="Q28" s="47"/>
      <c r="R28" s="47"/>
      <c r="S28" s="47"/>
      <c r="T28" s="47"/>
      <c r="U28" s="47"/>
      <c r="V28" s="47"/>
      <c r="W28" s="47"/>
    </row>
    <row r="29" spans="1:23" ht="35.049999999999997" customHeight="1" x14ac:dyDescent="0.3">
      <c r="A29" s="10" t="s">
        <v>759</v>
      </c>
      <c r="B29" s="392" t="s">
        <v>480</v>
      </c>
      <c r="C29" s="395">
        <v>0</v>
      </c>
      <c r="D29" s="492">
        <v>6.1909999999999998</v>
      </c>
      <c r="E29" s="493">
        <v>0.35299999999999998</v>
      </c>
      <c r="F29" s="494">
        <v>0.08</v>
      </c>
      <c r="G29" s="489">
        <v>116.32</v>
      </c>
      <c r="H29" s="489">
        <v>4.5</v>
      </c>
      <c r="I29" s="491">
        <v>5.87</v>
      </c>
      <c r="J29" s="487">
        <v>0.22</v>
      </c>
      <c r="K29" s="26"/>
      <c r="M29" s="46"/>
      <c r="N29" s="47"/>
      <c r="O29" s="47"/>
      <c r="P29" s="47"/>
      <c r="Q29" s="47"/>
      <c r="R29" s="47"/>
      <c r="S29" s="47"/>
      <c r="T29" s="47"/>
      <c r="U29" s="47"/>
      <c r="V29" s="47"/>
      <c r="W29" s="47"/>
    </row>
    <row r="30" spans="1:23" ht="35.049999999999997" customHeight="1" x14ac:dyDescent="0.3">
      <c r="A30" s="10" t="s">
        <v>760</v>
      </c>
      <c r="B30" s="387" t="s">
        <v>777</v>
      </c>
      <c r="C30" s="395">
        <v>0</v>
      </c>
      <c r="D30" s="492">
        <v>5.0209999999999999</v>
      </c>
      <c r="E30" s="493">
        <v>0.26200000000000001</v>
      </c>
      <c r="F30" s="494">
        <v>0.06</v>
      </c>
      <c r="G30" s="489">
        <v>127.37</v>
      </c>
      <c r="H30" s="489">
        <v>3.75</v>
      </c>
      <c r="I30" s="491">
        <v>5.24</v>
      </c>
      <c r="J30" s="487">
        <v>0.17499999999999999</v>
      </c>
      <c r="K30" s="26"/>
      <c r="M30" s="46"/>
      <c r="N30" s="47"/>
      <c r="O30" s="47"/>
      <c r="P30" s="47"/>
      <c r="Q30" s="47"/>
      <c r="R30" s="47"/>
      <c r="S30" s="47"/>
      <c r="T30" s="47"/>
      <c r="U30" s="47"/>
      <c r="V30" s="47"/>
      <c r="W30" s="47"/>
    </row>
    <row r="31" spans="1:23" ht="35.049999999999997" customHeight="1" x14ac:dyDescent="0.3">
      <c r="A31" s="10" t="s">
        <v>761</v>
      </c>
      <c r="B31" s="26" t="s">
        <v>781</v>
      </c>
      <c r="C31" s="395">
        <v>0</v>
      </c>
      <c r="D31" s="492">
        <v>5.0209999999999999</v>
      </c>
      <c r="E31" s="493">
        <v>0.26200000000000001</v>
      </c>
      <c r="F31" s="494">
        <v>0.06</v>
      </c>
      <c r="G31" s="489">
        <v>249.82</v>
      </c>
      <c r="H31" s="489">
        <v>3.75</v>
      </c>
      <c r="I31" s="491">
        <v>5.24</v>
      </c>
      <c r="J31" s="487">
        <v>0.17499999999999999</v>
      </c>
      <c r="K31" s="26"/>
      <c r="M31" s="46"/>
      <c r="N31" s="47"/>
      <c r="O31" s="47"/>
      <c r="P31" s="47"/>
      <c r="Q31" s="47"/>
      <c r="R31" s="47"/>
      <c r="S31" s="47"/>
      <c r="T31" s="47"/>
      <c r="U31" s="47"/>
      <c r="V31" s="47"/>
      <c r="W31" s="47"/>
    </row>
    <row r="32" spans="1:23" ht="35.049999999999997" customHeight="1" x14ac:dyDescent="0.3">
      <c r="A32" s="10" t="s">
        <v>762</v>
      </c>
      <c r="B32" s="26" t="s">
        <v>782</v>
      </c>
      <c r="C32" s="395">
        <v>0</v>
      </c>
      <c r="D32" s="492">
        <v>5.0209999999999999</v>
      </c>
      <c r="E32" s="493">
        <v>0.26200000000000001</v>
      </c>
      <c r="F32" s="494">
        <v>0.06</v>
      </c>
      <c r="G32" s="489">
        <v>435.79</v>
      </c>
      <c r="H32" s="489">
        <v>3.75</v>
      </c>
      <c r="I32" s="491">
        <v>5.24</v>
      </c>
      <c r="J32" s="487">
        <v>0.17499999999999999</v>
      </c>
      <c r="K32" s="26"/>
      <c r="M32" s="46"/>
      <c r="N32" s="47"/>
      <c r="O32" s="47"/>
      <c r="P32" s="47"/>
      <c r="Q32" s="47"/>
      <c r="R32" s="47"/>
      <c r="S32" s="47"/>
      <c r="T32" s="47"/>
      <c r="U32" s="47"/>
      <c r="V32" s="47"/>
      <c r="W32" s="47"/>
    </row>
    <row r="33" spans="1:23" ht="35.049999999999997" customHeight="1" x14ac:dyDescent="0.3">
      <c r="A33" s="10" t="s">
        <v>763</v>
      </c>
      <c r="B33" s="26" t="s">
        <v>783</v>
      </c>
      <c r="C33" s="395">
        <v>0</v>
      </c>
      <c r="D33" s="492">
        <v>5.0209999999999999</v>
      </c>
      <c r="E33" s="493">
        <v>0.26200000000000001</v>
      </c>
      <c r="F33" s="494">
        <v>0.06</v>
      </c>
      <c r="G33" s="489">
        <v>758.74</v>
      </c>
      <c r="H33" s="489">
        <v>3.75</v>
      </c>
      <c r="I33" s="491">
        <v>5.24</v>
      </c>
      <c r="J33" s="487">
        <v>0.17499999999999999</v>
      </c>
      <c r="K33" s="26"/>
      <c r="M33" s="46"/>
      <c r="N33" s="47"/>
      <c r="O33" s="47"/>
      <c r="P33" s="47"/>
      <c r="Q33" s="47"/>
      <c r="R33" s="47"/>
      <c r="S33" s="47"/>
      <c r="T33" s="47"/>
      <c r="U33" s="47"/>
      <c r="V33" s="47"/>
      <c r="W33" s="47"/>
    </row>
    <row r="34" spans="1:23" ht="35.049999999999997" customHeight="1" x14ac:dyDescent="0.3">
      <c r="A34" s="10" t="s">
        <v>764</v>
      </c>
      <c r="B34" s="26" t="s">
        <v>784</v>
      </c>
      <c r="C34" s="395">
        <v>0</v>
      </c>
      <c r="D34" s="492">
        <v>5.0209999999999999</v>
      </c>
      <c r="E34" s="493">
        <v>0.26200000000000001</v>
      </c>
      <c r="F34" s="494">
        <v>0.06</v>
      </c>
      <c r="G34" s="489">
        <v>1670.88</v>
      </c>
      <c r="H34" s="489">
        <v>3.75</v>
      </c>
      <c r="I34" s="491">
        <v>5.24</v>
      </c>
      <c r="J34" s="487">
        <v>0.17499999999999999</v>
      </c>
      <c r="K34" s="26"/>
      <c r="M34" s="46"/>
      <c r="N34" s="47"/>
      <c r="O34" s="47"/>
      <c r="P34" s="47"/>
      <c r="Q34" s="47"/>
      <c r="R34" s="47"/>
      <c r="S34" s="47"/>
      <c r="T34" s="47"/>
      <c r="U34" s="47"/>
      <c r="V34" s="47"/>
      <c r="W34" s="47"/>
    </row>
    <row r="35" spans="1:23" ht="35.049999999999997" customHeight="1" x14ac:dyDescent="0.3">
      <c r="A35" s="10" t="s">
        <v>573</v>
      </c>
      <c r="B35" s="387" t="s">
        <v>1210</v>
      </c>
      <c r="C35" s="375" t="s">
        <v>578</v>
      </c>
      <c r="D35" s="495">
        <v>35.18</v>
      </c>
      <c r="E35" s="496">
        <v>1.556</v>
      </c>
      <c r="F35" s="494">
        <v>1.0369999999999999</v>
      </c>
      <c r="G35" s="490"/>
      <c r="H35" s="490"/>
      <c r="I35" s="490"/>
      <c r="J35" s="488"/>
      <c r="K35" s="26"/>
      <c r="M35" s="46"/>
      <c r="N35" s="47"/>
      <c r="O35" s="47"/>
      <c r="P35" s="47"/>
      <c r="Q35" s="47"/>
      <c r="R35" s="47"/>
      <c r="S35" s="47"/>
      <c r="T35" s="47"/>
      <c r="U35" s="47"/>
      <c r="V35" s="47"/>
      <c r="W35" s="47"/>
    </row>
    <row r="36" spans="1:23" ht="35.049999999999997" customHeight="1" x14ac:dyDescent="0.3">
      <c r="A36" s="10" t="s">
        <v>617</v>
      </c>
      <c r="B36" s="27" t="s">
        <v>779</v>
      </c>
      <c r="C36" s="435">
        <v>0</v>
      </c>
      <c r="D36" s="492">
        <v>-8.5350000000000001</v>
      </c>
      <c r="E36" s="493">
        <v>-0.56000000000000005</v>
      </c>
      <c r="F36" s="494">
        <v>-0.127</v>
      </c>
      <c r="G36" s="489">
        <v>0</v>
      </c>
      <c r="H36" s="490"/>
      <c r="I36" s="490"/>
      <c r="J36" s="488"/>
      <c r="K36" s="26" t="s">
        <v>480</v>
      </c>
      <c r="M36" s="46"/>
      <c r="N36" s="47"/>
      <c r="O36" s="47"/>
      <c r="P36" s="47"/>
      <c r="Q36" s="47"/>
      <c r="R36" s="47"/>
      <c r="S36" s="47"/>
      <c r="T36" s="47"/>
      <c r="U36" s="47"/>
      <c r="V36" s="47"/>
      <c r="W36" s="47"/>
    </row>
    <row r="37" spans="1:23" ht="35.049999999999997" customHeight="1" x14ac:dyDescent="0.3">
      <c r="A37" s="10" t="s">
        <v>682</v>
      </c>
      <c r="B37" s="392" t="s">
        <v>480</v>
      </c>
      <c r="C37" s="395">
        <v>0</v>
      </c>
      <c r="D37" s="492">
        <v>-7.5039999999999996</v>
      </c>
      <c r="E37" s="493">
        <v>-0.47799999999999998</v>
      </c>
      <c r="F37" s="494">
        <v>-0.109</v>
      </c>
      <c r="G37" s="489">
        <v>0</v>
      </c>
      <c r="H37" s="490"/>
      <c r="I37" s="490"/>
      <c r="J37" s="488"/>
      <c r="K37" s="26"/>
      <c r="M37" s="46"/>
      <c r="N37" s="47"/>
      <c r="O37" s="47"/>
      <c r="P37" s="47"/>
      <c r="Q37" s="47"/>
      <c r="R37" s="47"/>
      <c r="S37" s="47"/>
      <c r="T37" s="47"/>
      <c r="U37" s="47"/>
      <c r="V37" s="47"/>
      <c r="W37" s="47"/>
    </row>
    <row r="38" spans="1:23" ht="35.049999999999997" customHeight="1" x14ac:dyDescent="0.3">
      <c r="A38" s="10" t="s">
        <v>597</v>
      </c>
      <c r="B38" s="27" t="s">
        <v>780</v>
      </c>
      <c r="C38" s="395">
        <v>0</v>
      </c>
      <c r="D38" s="492">
        <v>-8.5350000000000001</v>
      </c>
      <c r="E38" s="493">
        <v>-0.56000000000000005</v>
      </c>
      <c r="F38" s="494">
        <v>-0.127</v>
      </c>
      <c r="G38" s="489">
        <v>0</v>
      </c>
      <c r="H38" s="490"/>
      <c r="I38" s="490"/>
      <c r="J38" s="487">
        <v>0.307</v>
      </c>
      <c r="K38" s="26"/>
      <c r="M38" s="46"/>
      <c r="N38" s="47"/>
      <c r="O38" s="47"/>
      <c r="P38" s="47"/>
      <c r="Q38" s="47"/>
      <c r="R38" s="47"/>
      <c r="S38" s="47"/>
      <c r="T38" s="47"/>
      <c r="U38" s="47"/>
      <c r="V38" s="47"/>
      <c r="W38" s="47"/>
    </row>
    <row r="39" spans="1:23" ht="35.049999999999997" customHeight="1" x14ac:dyDescent="0.3">
      <c r="A39" s="10" t="s">
        <v>683</v>
      </c>
      <c r="B39" s="392" t="s">
        <v>480</v>
      </c>
      <c r="C39" s="395">
        <v>0</v>
      </c>
      <c r="D39" s="492">
        <v>-8.5350000000000001</v>
      </c>
      <c r="E39" s="493">
        <v>-0.56000000000000005</v>
      </c>
      <c r="F39" s="494">
        <v>-0.127</v>
      </c>
      <c r="G39" s="489">
        <v>0</v>
      </c>
      <c r="H39" s="490"/>
      <c r="I39" s="490"/>
      <c r="J39" s="488"/>
      <c r="K39" s="26"/>
      <c r="M39" s="46"/>
      <c r="N39" s="47"/>
      <c r="O39" s="47"/>
      <c r="P39" s="47"/>
      <c r="Q39" s="47"/>
      <c r="R39" s="47"/>
      <c r="S39" s="47"/>
      <c r="T39" s="47"/>
      <c r="U39" s="47"/>
      <c r="V39" s="47"/>
      <c r="W39" s="47"/>
    </row>
    <row r="40" spans="1:23" ht="35.049999999999997" customHeight="1" x14ac:dyDescent="0.3">
      <c r="A40" s="10" t="s">
        <v>684</v>
      </c>
      <c r="B40" s="392" t="s">
        <v>480</v>
      </c>
      <c r="C40" s="395">
        <v>0</v>
      </c>
      <c r="D40" s="492">
        <v>-7.5039999999999996</v>
      </c>
      <c r="E40" s="493">
        <v>-0.47799999999999998</v>
      </c>
      <c r="F40" s="494">
        <v>-0.109</v>
      </c>
      <c r="G40" s="489">
        <v>0</v>
      </c>
      <c r="H40" s="490"/>
      <c r="I40" s="490"/>
      <c r="J40" s="487">
        <v>0.26600000000000001</v>
      </c>
      <c r="K40" s="26"/>
      <c r="M40" s="46"/>
      <c r="N40" s="47"/>
      <c r="O40" s="47"/>
      <c r="P40" s="47"/>
      <c r="Q40" s="47"/>
      <c r="R40" s="47"/>
      <c r="S40" s="47"/>
      <c r="T40" s="47"/>
      <c r="U40" s="47"/>
      <c r="V40" s="47"/>
      <c r="W40" s="47"/>
    </row>
    <row r="41" spans="1:23" ht="35.049999999999997" customHeight="1" x14ac:dyDescent="0.3">
      <c r="A41" s="10" t="s">
        <v>685</v>
      </c>
      <c r="B41" s="392" t="s">
        <v>480</v>
      </c>
      <c r="C41" s="395">
        <v>0</v>
      </c>
      <c r="D41" s="492">
        <v>-7.5039999999999996</v>
      </c>
      <c r="E41" s="493">
        <v>-0.47799999999999998</v>
      </c>
      <c r="F41" s="494">
        <v>-0.109</v>
      </c>
      <c r="G41" s="489">
        <v>0</v>
      </c>
      <c r="H41" s="490"/>
      <c r="I41" s="490"/>
      <c r="J41" s="488"/>
      <c r="K41" s="26"/>
      <c r="M41" s="46"/>
      <c r="N41" s="47"/>
      <c r="O41" s="47"/>
      <c r="P41" s="47"/>
      <c r="Q41" s="47"/>
      <c r="R41" s="47"/>
      <c r="S41" s="47"/>
      <c r="T41" s="47"/>
      <c r="U41" s="47"/>
      <c r="V41" s="47"/>
      <c r="W41" s="47"/>
    </row>
    <row r="42" spans="1:23" ht="35.049999999999997" customHeight="1" x14ac:dyDescent="0.3">
      <c r="A42" s="10" t="s">
        <v>598</v>
      </c>
      <c r="B42" s="26" t="s">
        <v>785</v>
      </c>
      <c r="C42" s="395">
        <v>0</v>
      </c>
      <c r="D42" s="492">
        <v>-5.5279999999999996</v>
      </c>
      <c r="E42" s="493">
        <v>-0.31</v>
      </c>
      <c r="F42" s="494">
        <v>-7.0000000000000007E-2</v>
      </c>
      <c r="G42" s="489">
        <v>9.9</v>
      </c>
      <c r="H42" s="490"/>
      <c r="I42" s="490"/>
      <c r="J42" s="487">
        <v>0.217</v>
      </c>
      <c r="K42" s="26"/>
      <c r="M42" s="46"/>
      <c r="N42" s="47"/>
      <c r="O42" s="47"/>
      <c r="P42" s="47"/>
      <c r="Q42" s="47"/>
      <c r="R42" s="47"/>
      <c r="S42" s="47"/>
      <c r="T42" s="47"/>
      <c r="U42" s="47"/>
      <c r="V42" s="47"/>
      <c r="W42" s="47"/>
    </row>
    <row r="43" spans="1:23" ht="35.049999999999997" customHeight="1" x14ac:dyDescent="0.3">
      <c r="A43" s="10" t="s">
        <v>681</v>
      </c>
      <c r="B43" s="392" t="s">
        <v>480</v>
      </c>
      <c r="C43" s="395">
        <v>0</v>
      </c>
      <c r="D43" s="492">
        <v>-5.5279999999999996</v>
      </c>
      <c r="E43" s="493">
        <v>-0.31</v>
      </c>
      <c r="F43" s="494">
        <v>-7.0000000000000007E-2</v>
      </c>
      <c r="G43" s="489">
        <v>9.9</v>
      </c>
      <c r="H43" s="490"/>
      <c r="I43" s="490"/>
      <c r="J43" s="488"/>
      <c r="K43" s="26"/>
      <c r="M43" s="46"/>
      <c r="N43" s="47"/>
      <c r="O43" s="47"/>
      <c r="P43" s="47"/>
      <c r="Q43" s="47"/>
      <c r="R43" s="47"/>
      <c r="S43" s="47"/>
      <c r="T43" s="47"/>
      <c r="U43" s="47"/>
      <c r="V43" s="47"/>
      <c r="W43" s="47"/>
    </row>
    <row r="44" spans="1:23" ht="27.75" customHeight="1" x14ac:dyDescent="0.3">
      <c r="A44" s="376"/>
      <c r="B44" s="384"/>
      <c r="C44" s="377"/>
      <c r="D44" s="378"/>
      <c r="E44" s="379"/>
      <c r="F44" s="378"/>
      <c r="G44" s="380"/>
      <c r="H44" s="380"/>
      <c r="I44" s="385"/>
      <c r="J44" s="386"/>
      <c r="K44" s="383"/>
      <c r="M44" s="46"/>
      <c r="N44" s="47"/>
      <c r="O44" s="47"/>
      <c r="P44" s="47"/>
      <c r="Q44" s="47"/>
      <c r="R44" s="47"/>
      <c r="S44" s="47"/>
      <c r="T44" s="47"/>
      <c r="U44" s="47"/>
      <c r="V44" s="47"/>
      <c r="W44" s="47"/>
    </row>
  </sheetData>
  <mergeCells count="14">
    <mergeCell ref="C5:D5"/>
    <mergeCell ref="G5:H5"/>
    <mergeCell ref="E1:K1"/>
    <mergeCell ref="A2:K2"/>
    <mergeCell ref="A4:E4"/>
    <mergeCell ref="G4:K4"/>
    <mergeCell ref="G9:H9"/>
    <mergeCell ref="I9:K9"/>
    <mergeCell ref="C6:D6"/>
    <mergeCell ref="G6:H6"/>
    <mergeCell ref="C7:D7"/>
    <mergeCell ref="G7:H7"/>
    <mergeCell ref="B8:E8"/>
    <mergeCell ref="G8:H8"/>
  </mergeCells>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&amp;"Arial,Regular"Annex 1&amp;K10+000 &amp;K000000-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M201"/>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0" t="s">
        <v>19</v>
      </c>
      <c r="B1" s="3"/>
      <c r="C1" s="3"/>
      <c r="D1" s="3"/>
      <c r="F1" s="3"/>
      <c r="G1" s="3"/>
      <c r="H1" s="3"/>
      <c r="I1" s="3"/>
      <c r="J1" s="1"/>
      <c r="K1" s="1"/>
    </row>
    <row r="2" spans="1:13" ht="40" customHeight="1" x14ac:dyDescent="0.3">
      <c r="A2" s="612" t="str">
        <f>Overview!B4&amp;" - Effective from "&amp;Overview!D4&amp;" - Final LDNO tariffs in UKPN LPN Area (GSP Group_C)"</f>
        <v>Indigo Power Limited - Effective from 1 April 2023 - Final LDNO tariffs in UKPN LPN Area (GSP Group_C)</v>
      </c>
      <c r="B2" s="612"/>
      <c r="C2" s="612"/>
      <c r="D2" s="612"/>
      <c r="E2" s="612"/>
      <c r="F2" s="612"/>
      <c r="G2" s="612"/>
      <c r="H2" s="612"/>
      <c r="I2" s="612"/>
      <c r="J2" s="612"/>
    </row>
    <row r="3" spans="1:13" ht="40" customHeight="1" x14ac:dyDescent="0.3">
      <c r="A3" s="48"/>
      <c r="B3" s="48"/>
      <c r="C3" s="48"/>
      <c r="D3" s="48"/>
      <c r="E3" s="48"/>
      <c r="F3" s="48"/>
      <c r="G3" s="48"/>
      <c r="H3" s="48"/>
      <c r="I3" s="48"/>
      <c r="J3" s="48"/>
    </row>
    <row r="4" spans="1:13" ht="40" customHeight="1" x14ac:dyDescent="0.3">
      <c r="A4" s="553" t="s">
        <v>308</v>
      </c>
      <c r="B4" s="554"/>
      <c r="C4" s="554"/>
      <c r="D4" s="555"/>
      <c r="E4" s="52"/>
      <c r="F4" s="553" t="s">
        <v>307</v>
      </c>
      <c r="G4" s="554"/>
      <c r="H4" s="554"/>
      <c r="I4" s="554"/>
      <c r="J4" s="555"/>
      <c r="L4" s="3"/>
    </row>
    <row r="5" spans="1:13" ht="40" customHeight="1" x14ac:dyDescent="0.3">
      <c r="A5" s="468" t="s">
        <v>13</v>
      </c>
      <c r="B5" s="270" t="s">
        <v>299</v>
      </c>
      <c r="C5" s="182" t="s">
        <v>300</v>
      </c>
      <c r="D5" s="42" t="s">
        <v>301</v>
      </c>
      <c r="E5" s="45"/>
      <c r="F5" s="549"/>
      <c r="G5" s="550"/>
      <c r="H5" s="43" t="s">
        <v>305</v>
      </c>
      <c r="I5" s="44" t="s">
        <v>306</v>
      </c>
      <c r="J5" s="42" t="s">
        <v>301</v>
      </c>
      <c r="K5" s="45"/>
      <c r="L5" s="3"/>
      <c r="M5" s="3"/>
    </row>
    <row r="6" spans="1:13" ht="40" customHeight="1" x14ac:dyDescent="0.3">
      <c r="A6" s="262" t="str">
        <f>'Annex 1 LV and HV charges_C'!A6</f>
        <v>Monday to Friday 
(Including Bank Holidays)
All Year</v>
      </c>
      <c r="B6" s="13" t="str">
        <f>'Annex 1 LV and HV charges_C'!B6</f>
        <v>11:00 - 14:00
16:00 - 19:00</v>
      </c>
      <c r="C6" s="264" t="str">
        <f>'Annex 1 LV and HV charges_C'!C6</f>
        <v>07:00 - 11:00
14:00 - 16:00
19:00 - 23:00</v>
      </c>
      <c r="D6" s="86" t="str">
        <f>'Annex 1 LV and HV charges_C'!E6</f>
        <v>00:00 - 07:00
23:00 - 24:00</v>
      </c>
      <c r="E6" s="45"/>
      <c r="F6" s="537" t="str">
        <f>'Annex 1 LV and HV charges_C'!G6</f>
        <v>Monday to Friday 
(Including Bank Holidays)
June to August Inclusive</v>
      </c>
      <c r="G6" s="538" t="str">
        <f>'Annex 1 LV and HV charges_C'!H6</f>
        <v/>
      </c>
      <c r="H6" s="13" t="str">
        <f>'Annex 1 LV and HV charges_C'!I6</f>
        <v>11:00 - 14:00</v>
      </c>
      <c r="I6" s="269" t="str">
        <f>'Annex 1 LV and HV charges_C'!J6</f>
        <v>07:00 - 11:00
14:00 - 23:00</v>
      </c>
      <c r="J6" s="86" t="str">
        <f>'Annex 1 LV and HV charges_C'!K6</f>
        <v>00:00 - 07:00
23:00 - 24:00</v>
      </c>
      <c r="K6" s="45"/>
      <c r="L6" s="3"/>
      <c r="M6" s="3"/>
    </row>
    <row r="7" spans="1:13" ht="40" customHeight="1" x14ac:dyDescent="0.3">
      <c r="A7" s="262" t="str">
        <f>'Annex 1 LV and HV charges_C'!A7</f>
        <v>Saturday and Sunday
All Year</v>
      </c>
      <c r="B7" s="263" t="str">
        <f>'Annex 1 LV and HV charges_C'!B7</f>
        <v/>
      </c>
      <c r="C7" s="183" t="str">
        <f>'Annex 1 LV and HV charges_C'!C7</f>
        <v/>
      </c>
      <c r="D7" s="269" t="str">
        <f>'Annex 1 LV and HV charges_C'!E7</f>
        <v>00:00 - 24:00</v>
      </c>
      <c r="E7" s="45"/>
      <c r="F7" s="537" t="str">
        <f>'Annex 1 LV and HV charges_C'!G7</f>
        <v>Monday to Friday 
(Including Bank Holidays)
November to February Inclusive</v>
      </c>
      <c r="G7" s="538" t="str">
        <f>'Annex 1 LV and HV charges_C'!H7</f>
        <v/>
      </c>
      <c r="H7" s="261" t="str">
        <f>'Annex 1 LV and HV charges_C'!I7</f>
        <v>16:00 - 19:00</v>
      </c>
      <c r="I7" s="269" t="str">
        <f>'Annex 1 LV and HV charges_C'!J7</f>
        <v>07:00 - 16:00
19:00 - 23:00</v>
      </c>
      <c r="J7" s="86" t="str">
        <f>'Annex 1 LV and HV charges_C'!K7</f>
        <v>00:00 - 07:00
23:00 - 24:00</v>
      </c>
      <c r="K7" s="45"/>
      <c r="L7" s="3"/>
      <c r="M7" s="3"/>
    </row>
    <row r="8" spans="1:13" ht="40" customHeight="1" x14ac:dyDescent="0.3">
      <c r="A8" s="465" t="str">
        <f>'Annex 1 LV and HV charges_C'!A8</f>
        <v>Notes</v>
      </c>
      <c r="B8" s="537" t="str">
        <f>'Annex 1 LV and HV charges_C'!B8</f>
        <v>All times are in UK Clock time</v>
      </c>
      <c r="C8" s="546" t="str">
        <f>'Annex 1 LV and HV charges_C'!C8</f>
        <v/>
      </c>
      <c r="D8" s="538" t="str">
        <f>'Annex 1 LV and HV charges_C'!D8</f>
        <v/>
      </c>
      <c r="E8" s="45"/>
      <c r="F8" s="537" t="str">
        <f>'Annex 1 LV and HV charges_C'!G8</f>
        <v>Monday to Friday 
(Including Bank Holidays)
March, April, May and September, October</v>
      </c>
      <c r="G8" s="538" t="str">
        <f>'Annex 1 LV and HV charges_C'!H8</f>
        <v/>
      </c>
      <c r="H8" s="263" t="str">
        <f>'Annex 1 LV and HV charges_C'!I8</f>
        <v/>
      </c>
      <c r="I8" s="269" t="str">
        <f>'Annex 1 LV and HV charges_C'!J8</f>
        <v>07:00 - 23:00</v>
      </c>
      <c r="J8" s="86" t="str">
        <f>'Annex 1 LV and HV charges_C'!K8</f>
        <v>00:00 - 07:00
23:00 - 24:00</v>
      </c>
      <c r="K8" s="45"/>
      <c r="L8" s="3"/>
      <c r="M8" s="3"/>
    </row>
    <row r="9" spans="1:13" s="47" customFormat="1" ht="40" customHeight="1" x14ac:dyDescent="0.3">
      <c r="B9" s="45"/>
      <c r="C9" s="45"/>
      <c r="D9" s="45"/>
      <c r="E9" s="49"/>
      <c r="F9" s="537" t="str">
        <f>'Annex 1 LV and HV charges_C'!G9</f>
        <v>Saturday and Sunday
All year</v>
      </c>
      <c r="G9" s="538" t="str">
        <f>'Annex 1 LV and HV charges_C'!H9</f>
        <v/>
      </c>
      <c r="H9" s="263" t="str">
        <f>'Annex 1 LV and HV charges_C'!I9</f>
        <v/>
      </c>
      <c r="I9" s="263" t="str">
        <f>'Annex 1 LV and HV charges_C'!J9</f>
        <v/>
      </c>
      <c r="J9" s="269" t="str">
        <f>'Annex 1 LV and HV charges_C'!K9</f>
        <v>00:00 - 24:00</v>
      </c>
      <c r="K9" s="46"/>
      <c r="L9" s="46"/>
    </row>
    <row r="10" spans="1:13" s="47" customFormat="1" ht="40" customHeight="1" x14ac:dyDescent="0.3">
      <c r="B10" s="45"/>
      <c r="C10" s="45"/>
      <c r="D10" s="45" t="s">
        <v>480</v>
      </c>
      <c r="E10" s="45"/>
      <c r="F10" s="537" t="str">
        <f>'Annex 1 LV and HV charges_C'!G10</f>
        <v>Notes</v>
      </c>
      <c r="G10" s="538" t="str">
        <f>'Annex 1 LV and HV charges_C'!H10</f>
        <v/>
      </c>
      <c r="H10" s="537" t="str">
        <f>'Annex 1 LV and HV charges_C'!I10</f>
        <v>All times are in UK Clock time</v>
      </c>
      <c r="I10" s="546" t="str">
        <f>'Annex 1 LV and HV charges_C'!J10</f>
        <v/>
      </c>
      <c r="J10" s="538" t="str">
        <f>'Annex 1 LV and HV charges_C'!K10</f>
        <v/>
      </c>
      <c r="K10" s="46"/>
      <c r="L10" s="46"/>
    </row>
    <row r="11" spans="1:13" ht="75" customHeight="1" x14ac:dyDescent="0.3">
      <c r="A11" s="18" t="s">
        <v>455</v>
      </c>
      <c r="B11" s="18" t="s">
        <v>31</v>
      </c>
      <c r="C11" s="433" t="s">
        <v>24</v>
      </c>
      <c r="D11" s="374" t="s">
        <v>579</v>
      </c>
      <c r="E11" s="374" t="s">
        <v>580</v>
      </c>
      <c r="F11" s="374" t="s">
        <v>581</v>
      </c>
      <c r="G11" s="433" t="s">
        <v>25</v>
      </c>
      <c r="H11" s="433" t="s">
        <v>26</v>
      </c>
      <c r="I11" s="433" t="s">
        <v>456</v>
      </c>
      <c r="J11" s="433" t="s">
        <v>270</v>
      </c>
      <c r="K11" s="1"/>
    </row>
    <row r="12" spans="1:13" ht="35.049999999999997" customHeight="1" x14ac:dyDescent="0.3">
      <c r="A12" s="398" t="s">
        <v>786</v>
      </c>
      <c r="B12" s="24"/>
      <c r="C12" s="405" t="s">
        <v>639</v>
      </c>
      <c r="D12" s="501">
        <v>6.9790000000000001</v>
      </c>
      <c r="E12" s="502">
        <v>0.72199999999999998</v>
      </c>
      <c r="F12" s="503">
        <v>0</v>
      </c>
      <c r="G12" s="508">
        <v>0.06</v>
      </c>
      <c r="H12" s="509"/>
      <c r="I12" s="399"/>
      <c r="J12" s="500"/>
      <c r="K12" s="1"/>
    </row>
    <row r="13" spans="1:13" ht="35.049999999999997" customHeight="1" x14ac:dyDescent="0.3">
      <c r="A13" s="398" t="s">
        <v>787</v>
      </c>
      <c r="B13" s="24"/>
      <c r="C13" s="405" t="s">
        <v>575</v>
      </c>
      <c r="D13" s="501">
        <v>7.2670000000000003</v>
      </c>
      <c r="E13" s="502">
        <v>1.01</v>
      </c>
      <c r="F13" s="503">
        <v>0.14499999999999999</v>
      </c>
      <c r="G13" s="509"/>
      <c r="H13" s="509"/>
      <c r="I13" s="399"/>
      <c r="J13" s="500"/>
      <c r="K13" s="1"/>
    </row>
    <row r="14" spans="1:13" ht="35.049999999999997" customHeight="1" x14ac:dyDescent="0.3">
      <c r="A14" s="398" t="s">
        <v>788</v>
      </c>
      <c r="B14" s="24"/>
      <c r="C14" s="405" t="s">
        <v>640</v>
      </c>
      <c r="D14" s="501">
        <v>4.3</v>
      </c>
      <c r="E14" s="502">
        <v>0.59699999999999998</v>
      </c>
      <c r="F14" s="503">
        <v>8.5999999999999993E-2</v>
      </c>
      <c r="G14" s="508">
        <v>2.5499999999999998</v>
      </c>
      <c r="H14" s="509"/>
      <c r="I14" s="399"/>
      <c r="J14" s="500"/>
      <c r="K14" s="1"/>
    </row>
    <row r="15" spans="1:13" ht="35.049999999999997" customHeight="1" x14ac:dyDescent="0.3">
      <c r="A15" s="398" t="s">
        <v>789</v>
      </c>
      <c r="B15" s="24"/>
      <c r="C15" s="405" t="s">
        <v>640</v>
      </c>
      <c r="D15" s="501">
        <v>4.3</v>
      </c>
      <c r="E15" s="502">
        <v>0.59699999999999998</v>
      </c>
      <c r="F15" s="503">
        <v>8.5999999999999993E-2</v>
      </c>
      <c r="G15" s="508">
        <v>0.8</v>
      </c>
      <c r="H15" s="509"/>
      <c r="I15" s="399"/>
      <c r="J15" s="500"/>
      <c r="K15" s="1"/>
    </row>
    <row r="16" spans="1:13" ht="35.049999999999997" customHeight="1" x14ac:dyDescent="0.3">
      <c r="A16" s="398" t="s">
        <v>790</v>
      </c>
      <c r="B16" s="24"/>
      <c r="C16" s="405" t="s">
        <v>640</v>
      </c>
      <c r="D16" s="501">
        <v>3.6720000000000002</v>
      </c>
      <c r="E16" s="502">
        <v>0</v>
      </c>
      <c r="F16" s="503">
        <v>0</v>
      </c>
      <c r="G16" s="508">
        <v>0.03</v>
      </c>
      <c r="H16" s="509"/>
      <c r="I16" s="399"/>
      <c r="J16" s="500"/>
      <c r="K16" s="1"/>
    </row>
    <row r="17" spans="1:11" ht="35.049999999999997" customHeight="1" x14ac:dyDescent="0.3">
      <c r="A17" s="398" t="s">
        <v>791</v>
      </c>
      <c r="B17" s="24"/>
      <c r="C17" s="405" t="s">
        <v>640</v>
      </c>
      <c r="D17" s="501">
        <v>3.41</v>
      </c>
      <c r="E17" s="502">
        <v>0</v>
      </c>
      <c r="F17" s="503">
        <v>0</v>
      </c>
      <c r="G17" s="508">
        <v>0.03</v>
      </c>
      <c r="H17" s="509"/>
      <c r="I17" s="399"/>
      <c r="J17" s="500"/>
      <c r="K17" s="1"/>
    </row>
    <row r="18" spans="1:11" ht="35.049999999999997" customHeight="1" x14ac:dyDescent="0.3">
      <c r="A18" s="398" t="s">
        <v>792</v>
      </c>
      <c r="B18" s="24"/>
      <c r="C18" s="405" t="s">
        <v>640</v>
      </c>
      <c r="D18" s="501">
        <v>3.2789999999999999</v>
      </c>
      <c r="E18" s="502">
        <v>0</v>
      </c>
      <c r="F18" s="503">
        <v>0</v>
      </c>
      <c r="G18" s="508">
        <v>0.03</v>
      </c>
      <c r="H18" s="509"/>
      <c r="I18" s="399"/>
      <c r="J18" s="500"/>
      <c r="K18" s="1"/>
    </row>
    <row r="19" spans="1:11" ht="35.049999999999997" customHeight="1" x14ac:dyDescent="0.3">
      <c r="A19" s="398" t="s">
        <v>582</v>
      </c>
      <c r="B19" s="24"/>
      <c r="C19" s="405" t="s">
        <v>577</v>
      </c>
      <c r="D19" s="501">
        <v>4.3</v>
      </c>
      <c r="E19" s="502">
        <v>0.59699999999999998</v>
      </c>
      <c r="F19" s="503">
        <v>8.5999999999999993E-2</v>
      </c>
      <c r="G19" s="509"/>
      <c r="H19" s="509"/>
      <c r="I19" s="399"/>
      <c r="J19" s="500"/>
      <c r="K19" s="1"/>
    </row>
    <row r="20" spans="1:11" ht="35.049999999999997" customHeight="1" x14ac:dyDescent="0.3">
      <c r="A20" s="398" t="s">
        <v>793</v>
      </c>
      <c r="B20" s="24"/>
      <c r="C20" s="405">
        <v>0</v>
      </c>
      <c r="D20" s="501">
        <v>3.915</v>
      </c>
      <c r="E20" s="502">
        <v>0.54900000000000004</v>
      </c>
      <c r="F20" s="503">
        <v>6.8000000000000005E-2</v>
      </c>
      <c r="G20" s="508">
        <v>7.11</v>
      </c>
      <c r="H20" s="508">
        <v>3.05</v>
      </c>
      <c r="I20" s="400">
        <v>4.72</v>
      </c>
      <c r="J20" s="499">
        <v>0.32800000000000001</v>
      </c>
      <c r="K20" s="1"/>
    </row>
    <row r="21" spans="1:11" ht="35.049999999999997" customHeight="1" x14ac:dyDescent="0.3">
      <c r="A21" s="398" t="s">
        <v>794</v>
      </c>
      <c r="B21" s="24"/>
      <c r="C21" s="405">
        <v>0</v>
      </c>
      <c r="D21" s="501">
        <v>2.4089999999999998</v>
      </c>
      <c r="E21" s="502">
        <v>0.14199999999999999</v>
      </c>
      <c r="F21" s="503">
        <v>3.7999999999999999E-2</v>
      </c>
      <c r="G21" s="508">
        <v>1.59</v>
      </c>
      <c r="H21" s="508">
        <v>3.05</v>
      </c>
      <c r="I21" s="400">
        <v>4.72</v>
      </c>
      <c r="J21" s="499">
        <v>0.32800000000000001</v>
      </c>
      <c r="K21" s="1"/>
    </row>
    <row r="22" spans="1:11" ht="35.049999999999997" customHeight="1" x14ac:dyDescent="0.3">
      <c r="A22" s="398" t="s">
        <v>795</v>
      </c>
      <c r="B22" s="24"/>
      <c r="C22" s="405">
        <v>0</v>
      </c>
      <c r="D22" s="501">
        <v>2.383</v>
      </c>
      <c r="E22" s="502">
        <v>0.14199999999999999</v>
      </c>
      <c r="F22" s="503">
        <v>3.7999999999999999E-2</v>
      </c>
      <c r="G22" s="508">
        <v>1.59</v>
      </c>
      <c r="H22" s="508">
        <v>3.05</v>
      </c>
      <c r="I22" s="400">
        <v>4.72</v>
      </c>
      <c r="J22" s="499">
        <v>0.32800000000000001</v>
      </c>
      <c r="K22" s="1"/>
    </row>
    <row r="23" spans="1:11" ht="35.049999999999997" customHeight="1" x14ac:dyDescent="0.3">
      <c r="A23" s="398" t="s">
        <v>796</v>
      </c>
      <c r="B23" s="24"/>
      <c r="C23" s="405">
        <v>0</v>
      </c>
      <c r="D23" s="501">
        <v>2.3580000000000001</v>
      </c>
      <c r="E23" s="502">
        <v>0.14199999999999999</v>
      </c>
      <c r="F23" s="503">
        <v>3.7999999999999999E-2</v>
      </c>
      <c r="G23" s="508">
        <v>1.59</v>
      </c>
      <c r="H23" s="508">
        <v>3.05</v>
      </c>
      <c r="I23" s="400">
        <v>4.72</v>
      </c>
      <c r="J23" s="499">
        <v>0.32800000000000001</v>
      </c>
      <c r="K23" s="1"/>
    </row>
    <row r="24" spans="1:11" ht="35.049999999999997" customHeight="1" x14ac:dyDescent="0.3">
      <c r="A24" s="398" t="s">
        <v>797</v>
      </c>
      <c r="B24" s="24"/>
      <c r="C24" s="405">
        <v>0</v>
      </c>
      <c r="D24" s="501">
        <v>2.339</v>
      </c>
      <c r="E24" s="502">
        <v>0.14199999999999999</v>
      </c>
      <c r="F24" s="503">
        <v>3.7999999999999999E-2</v>
      </c>
      <c r="G24" s="508">
        <v>1.59</v>
      </c>
      <c r="H24" s="508">
        <v>3.05</v>
      </c>
      <c r="I24" s="400">
        <v>4.72</v>
      </c>
      <c r="J24" s="499">
        <v>0.32800000000000001</v>
      </c>
      <c r="K24" s="1"/>
    </row>
    <row r="25" spans="1:11" ht="35.049999999999997" customHeight="1" x14ac:dyDescent="0.3">
      <c r="A25" s="398" t="s">
        <v>583</v>
      </c>
      <c r="B25" s="24"/>
      <c r="C25" s="406" t="s">
        <v>616</v>
      </c>
      <c r="D25" s="504">
        <v>24.881</v>
      </c>
      <c r="E25" s="505">
        <v>1.232</v>
      </c>
      <c r="F25" s="503">
        <v>0.09</v>
      </c>
      <c r="G25" s="509"/>
      <c r="H25" s="509"/>
      <c r="I25" s="399"/>
      <c r="J25" s="500"/>
      <c r="K25" s="1"/>
    </row>
    <row r="26" spans="1:11" ht="35.049999999999997" customHeight="1" x14ac:dyDescent="0.3">
      <c r="A26" s="398" t="s">
        <v>686</v>
      </c>
      <c r="B26" s="24"/>
      <c r="C26" s="406">
        <v>0</v>
      </c>
      <c r="D26" s="501">
        <v>-5.5890000000000004</v>
      </c>
      <c r="E26" s="502">
        <v>-0.77600000000000002</v>
      </c>
      <c r="F26" s="503">
        <v>-0.111</v>
      </c>
      <c r="G26" s="508">
        <v>0</v>
      </c>
      <c r="H26" s="509"/>
      <c r="I26" s="399"/>
      <c r="J26" s="500"/>
      <c r="K26" s="1"/>
    </row>
    <row r="27" spans="1:11" ht="35.049999999999997" customHeight="1" x14ac:dyDescent="0.3">
      <c r="A27" s="398" t="s">
        <v>687</v>
      </c>
      <c r="B27" s="24"/>
      <c r="C27" s="406">
        <v>0</v>
      </c>
      <c r="D27" s="501">
        <v>-5.5890000000000004</v>
      </c>
      <c r="E27" s="502">
        <v>-0.77600000000000002</v>
      </c>
      <c r="F27" s="503">
        <v>-0.111</v>
      </c>
      <c r="G27" s="508">
        <v>0</v>
      </c>
      <c r="H27" s="509"/>
      <c r="I27" s="399"/>
      <c r="J27" s="499">
        <v>0.38200000000000001</v>
      </c>
      <c r="K27" s="1"/>
    </row>
    <row r="28" spans="1:11" ht="35.049999999999997" customHeight="1" x14ac:dyDescent="0.3">
      <c r="A28" s="401" t="s">
        <v>798</v>
      </c>
      <c r="B28" s="24"/>
      <c r="C28" s="406" t="s">
        <v>639</v>
      </c>
      <c r="D28" s="501">
        <v>5.3979999999999997</v>
      </c>
      <c r="E28" s="502">
        <v>0.55800000000000005</v>
      </c>
      <c r="F28" s="503">
        <v>0</v>
      </c>
      <c r="G28" s="508">
        <v>0.09</v>
      </c>
      <c r="H28" s="509"/>
      <c r="I28" s="399"/>
      <c r="J28" s="500"/>
      <c r="K28" s="1"/>
    </row>
    <row r="29" spans="1:11" ht="35.049999999999997" customHeight="1" x14ac:dyDescent="0.3">
      <c r="A29" s="401" t="s">
        <v>799</v>
      </c>
      <c r="B29" s="24"/>
      <c r="C29" s="406" t="s">
        <v>575</v>
      </c>
      <c r="D29" s="501">
        <v>5.6210000000000004</v>
      </c>
      <c r="E29" s="502">
        <v>0.78100000000000003</v>
      </c>
      <c r="F29" s="503">
        <v>0.112</v>
      </c>
      <c r="G29" s="509"/>
      <c r="H29" s="509"/>
      <c r="I29" s="399"/>
      <c r="J29" s="500"/>
      <c r="K29" s="1"/>
    </row>
    <row r="30" spans="1:11" ht="35.049999999999997" customHeight="1" x14ac:dyDescent="0.3">
      <c r="A30" s="401" t="s">
        <v>800</v>
      </c>
      <c r="B30" s="24"/>
      <c r="C30" s="406" t="s">
        <v>640</v>
      </c>
      <c r="D30" s="501">
        <v>3.3260000000000001</v>
      </c>
      <c r="E30" s="502">
        <v>0.46200000000000002</v>
      </c>
      <c r="F30" s="503">
        <v>6.6000000000000003E-2</v>
      </c>
      <c r="G30" s="508">
        <v>2</v>
      </c>
      <c r="H30" s="509"/>
      <c r="I30" s="399"/>
      <c r="J30" s="500"/>
      <c r="K30" s="1"/>
    </row>
    <row r="31" spans="1:11" ht="35.049999999999997" customHeight="1" x14ac:dyDescent="0.3">
      <c r="A31" s="401" t="s">
        <v>801</v>
      </c>
      <c r="B31" s="24"/>
      <c r="C31" s="406" t="s">
        <v>640</v>
      </c>
      <c r="D31" s="501">
        <v>3.3260000000000001</v>
      </c>
      <c r="E31" s="502">
        <v>0.46200000000000002</v>
      </c>
      <c r="F31" s="503">
        <v>6.6000000000000003E-2</v>
      </c>
      <c r="G31" s="508">
        <v>0.64</v>
      </c>
      <c r="H31" s="509"/>
      <c r="I31" s="399"/>
      <c r="J31" s="500"/>
      <c r="K31" s="1"/>
    </row>
    <row r="32" spans="1:11" ht="35.049999999999997" customHeight="1" x14ac:dyDescent="0.3">
      <c r="A32" s="401" t="s">
        <v>802</v>
      </c>
      <c r="B32" s="24"/>
      <c r="C32" s="406" t="s">
        <v>640</v>
      </c>
      <c r="D32" s="501">
        <v>2.8410000000000002</v>
      </c>
      <c r="E32" s="502">
        <v>0</v>
      </c>
      <c r="F32" s="503">
        <v>0</v>
      </c>
      <c r="G32" s="508">
        <v>0.05</v>
      </c>
      <c r="H32" s="509"/>
      <c r="I32" s="399"/>
      <c r="J32" s="500"/>
      <c r="K32" s="1"/>
    </row>
    <row r="33" spans="1:11" ht="35.049999999999997" customHeight="1" x14ac:dyDescent="0.3">
      <c r="A33" s="401" t="s">
        <v>803</v>
      </c>
      <c r="B33" s="24"/>
      <c r="C33" s="406" t="s">
        <v>640</v>
      </c>
      <c r="D33" s="501">
        <v>2.6379999999999999</v>
      </c>
      <c r="E33" s="502">
        <v>0</v>
      </c>
      <c r="F33" s="503">
        <v>0</v>
      </c>
      <c r="G33" s="508">
        <v>0.05</v>
      </c>
      <c r="H33" s="509"/>
      <c r="I33" s="399"/>
      <c r="J33" s="500"/>
      <c r="K33" s="1"/>
    </row>
    <row r="34" spans="1:11" ht="35.049999999999997" customHeight="1" x14ac:dyDescent="0.3">
      <c r="A34" s="401" t="s">
        <v>804</v>
      </c>
      <c r="B34" s="24"/>
      <c r="C34" s="406" t="s">
        <v>640</v>
      </c>
      <c r="D34" s="501">
        <v>2.536</v>
      </c>
      <c r="E34" s="502">
        <v>0</v>
      </c>
      <c r="F34" s="503">
        <v>0</v>
      </c>
      <c r="G34" s="508">
        <v>0.05</v>
      </c>
      <c r="H34" s="509"/>
      <c r="I34" s="399"/>
      <c r="J34" s="500"/>
      <c r="K34" s="1"/>
    </row>
    <row r="35" spans="1:11" ht="35.049999999999997" customHeight="1" x14ac:dyDescent="0.3">
      <c r="A35" s="401" t="s">
        <v>584</v>
      </c>
      <c r="B35" s="24"/>
      <c r="C35" s="406" t="s">
        <v>577</v>
      </c>
      <c r="D35" s="501">
        <v>3.3260000000000001</v>
      </c>
      <c r="E35" s="502">
        <v>0.46200000000000002</v>
      </c>
      <c r="F35" s="503">
        <v>6.6000000000000003E-2</v>
      </c>
      <c r="G35" s="509"/>
      <c r="H35" s="509"/>
      <c r="I35" s="399"/>
      <c r="J35" s="500"/>
      <c r="K35" s="1"/>
    </row>
    <row r="36" spans="1:11" ht="35.049999999999997" customHeight="1" x14ac:dyDescent="0.3">
      <c r="A36" s="401" t="s">
        <v>805</v>
      </c>
      <c r="B36" s="24"/>
      <c r="C36" s="406">
        <v>0</v>
      </c>
      <c r="D36" s="501">
        <v>3.0289999999999999</v>
      </c>
      <c r="E36" s="502">
        <v>0.42499999999999999</v>
      </c>
      <c r="F36" s="503">
        <v>5.2999999999999999E-2</v>
      </c>
      <c r="G36" s="508">
        <v>5.53</v>
      </c>
      <c r="H36" s="508">
        <v>2.36</v>
      </c>
      <c r="I36" s="400">
        <v>3.65</v>
      </c>
      <c r="J36" s="499">
        <v>0.253</v>
      </c>
      <c r="K36" s="1"/>
    </row>
    <row r="37" spans="1:11" ht="35.049999999999997" customHeight="1" x14ac:dyDescent="0.3">
      <c r="A37" s="401" t="s">
        <v>806</v>
      </c>
      <c r="B37" s="24"/>
      <c r="C37" s="406">
        <v>0</v>
      </c>
      <c r="D37" s="501">
        <v>1.863</v>
      </c>
      <c r="E37" s="502">
        <v>0.11</v>
      </c>
      <c r="F37" s="503">
        <v>2.9000000000000001E-2</v>
      </c>
      <c r="G37" s="508">
        <v>1.26</v>
      </c>
      <c r="H37" s="508">
        <v>2.36</v>
      </c>
      <c r="I37" s="400">
        <v>3.65</v>
      </c>
      <c r="J37" s="499">
        <v>0.253</v>
      </c>
      <c r="K37" s="1"/>
    </row>
    <row r="38" spans="1:11" ht="35.049999999999997" customHeight="1" x14ac:dyDescent="0.3">
      <c r="A38" s="401" t="s">
        <v>807</v>
      </c>
      <c r="B38" s="24"/>
      <c r="C38" s="406">
        <v>0</v>
      </c>
      <c r="D38" s="501">
        <v>1.843</v>
      </c>
      <c r="E38" s="502">
        <v>0.11</v>
      </c>
      <c r="F38" s="503">
        <v>2.9000000000000001E-2</v>
      </c>
      <c r="G38" s="508">
        <v>1.26</v>
      </c>
      <c r="H38" s="508">
        <v>2.36</v>
      </c>
      <c r="I38" s="400">
        <v>3.65</v>
      </c>
      <c r="J38" s="499">
        <v>0.253</v>
      </c>
      <c r="K38" s="1"/>
    </row>
    <row r="39" spans="1:11" ht="35.049999999999997" customHeight="1" x14ac:dyDescent="0.3">
      <c r="A39" s="401" t="s">
        <v>808</v>
      </c>
      <c r="B39" s="24"/>
      <c r="C39" s="406">
        <v>0</v>
      </c>
      <c r="D39" s="501">
        <v>1.8240000000000001</v>
      </c>
      <c r="E39" s="502">
        <v>0.11</v>
      </c>
      <c r="F39" s="503">
        <v>2.9000000000000001E-2</v>
      </c>
      <c r="G39" s="508">
        <v>1.26</v>
      </c>
      <c r="H39" s="508">
        <v>2.36</v>
      </c>
      <c r="I39" s="400">
        <v>3.65</v>
      </c>
      <c r="J39" s="499">
        <v>0.253</v>
      </c>
      <c r="K39" s="1"/>
    </row>
    <row r="40" spans="1:11" ht="35.049999999999997" customHeight="1" x14ac:dyDescent="0.3">
      <c r="A40" s="401" t="s">
        <v>809</v>
      </c>
      <c r="B40" s="24"/>
      <c r="C40" s="406">
        <v>0</v>
      </c>
      <c r="D40" s="501">
        <v>1.8089999999999999</v>
      </c>
      <c r="E40" s="502">
        <v>0.11</v>
      </c>
      <c r="F40" s="503">
        <v>2.9000000000000001E-2</v>
      </c>
      <c r="G40" s="508">
        <v>1.26</v>
      </c>
      <c r="H40" s="508">
        <v>2.36</v>
      </c>
      <c r="I40" s="400">
        <v>3.65</v>
      </c>
      <c r="J40" s="499">
        <v>0.253</v>
      </c>
      <c r="K40" s="1"/>
    </row>
    <row r="41" spans="1:11" ht="35.049999999999997" customHeight="1" x14ac:dyDescent="0.3">
      <c r="A41" s="401" t="s">
        <v>810</v>
      </c>
      <c r="B41" s="24"/>
      <c r="C41" s="406">
        <v>0</v>
      </c>
      <c r="D41" s="501">
        <v>3.04</v>
      </c>
      <c r="E41" s="502">
        <v>0.437</v>
      </c>
      <c r="F41" s="503">
        <v>3.3000000000000002E-2</v>
      </c>
      <c r="G41" s="508">
        <v>5.96</v>
      </c>
      <c r="H41" s="508">
        <v>5.57</v>
      </c>
      <c r="I41" s="400">
        <v>6.33</v>
      </c>
      <c r="J41" s="499">
        <v>0.21199999999999999</v>
      </c>
      <c r="K41" s="1"/>
    </row>
    <row r="42" spans="1:11" ht="35.049999999999997" customHeight="1" x14ac:dyDescent="0.3">
      <c r="A42" s="401" t="s">
        <v>811</v>
      </c>
      <c r="B42" s="24"/>
      <c r="C42" s="406">
        <v>0</v>
      </c>
      <c r="D42" s="501">
        <v>1.421</v>
      </c>
      <c r="E42" s="502">
        <v>0</v>
      </c>
      <c r="F42" s="503">
        <v>0</v>
      </c>
      <c r="G42" s="508">
        <v>0.03</v>
      </c>
      <c r="H42" s="508">
        <v>5.57</v>
      </c>
      <c r="I42" s="400">
        <v>6.33</v>
      </c>
      <c r="J42" s="499">
        <v>0.21199999999999999</v>
      </c>
      <c r="K42" s="1"/>
    </row>
    <row r="43" spans="1:11" ht="35.049999999999997" customHeight="1" x14ac:dyDescent="0.3">
      <c r="A43" s="401" t="s">
        <v>812</v>
      </c>
      <c r="B43" s="24"/>
      <c r="C43" s="406">
        <v>0</v>
      </c>
      <c r="D43" s="501">
        <v>1.393</v>
      </c>
      <c r="E43" s="502">
        <v>0</v>
      </c>
      <c r="F43" s="503">
        <v>0</v>
      </c>
      <c r="G43" s="508">
        <v>0.03</v>
      </c>
      <c r="H43" s="508">
        <v>5.57</v>
      </c>
      <c r="I43" s="400">
        <v>6.33</v>
      </c>
      <c r="J43" s="499">
        <v>0.21199999999999999</v>
      </c>
      <c r="K43" s="1"/>
    </row>
    <row r="44" spans="1:11" ht="35.049999999999997" customHeight="1" x14ac:dyDescent="0.3">
      <c r="A44" s="401" t="s">
        <v>813</v>
      </c>
      <c r="B44" s="24"/>
      <c r="C44" s="406">
        <v>0</v>
      </c>
      <c r="D44" s="501">
        <v>1.367</v>
      </c>
      <c r="E44" s="502">
        <v>0</v>
      </c>
      <c r="F44" s="503">
        <v>0</v>
      </c>
      <c r="G44" s="508">
        <v>0.03</v>
      </c>
      <c r="H44" s="508">
        <v>5.57</v>
      </c>
      <c r="I44" s="400">
        <v>6.33</v>
      </c>
      <c r="J44" s="499">
        <v>0.21199999999999999</v>
      </c>
      <c r="K44" s="1"/>
    </row>
    <row r="45" spans="1:11" ht="35.049999999999997" customHeight="1" x14ac:dyDescent="0.3">
      <c r="A45" s="401" t="s">
        <v>814</v>
      </c>
      <c r="B45" s="24"/>
      <c r="C45" s="406">
        <v>0</v>
      </c>
      <c r="D45" s="501">
        <v>1.3460000000000001</v>
      </c>
      <c r="E45" s="502">
        <v>0</v>
      </c>
      <c r="F45" s="503">
        <v>0</v>
      </c>
      <c r="G45" s="508">
        <v>0.03</v>
      </c>
      <c r="H45" s="508">
        <v>5.57</v>
      </c>
      <c r="I45" s="400">
        <v>6.33</v>
      </c>
      <c r="J45" s="499">
        <v>0.21199999999999999</v>
      </c>
      <c r="K45" s="1"/>
    </row>
    <row r="46" spans="1:11" ht="35.049999999999997" customHeight="1" x14ac:dyDescent="0.3">
      <c r="A46" s="401" t="s">
        <v>815</v>
      </c>
      <c r="B46" s="24"/>
      <c r="C46" s="406">
        <v>0</v>
      </c>
      <c r="D46" s="501">
        <v>2.2909999999999999</v>
      </c>
      <c r="E46" s="502">
        <v>0.32</v>
      </c>
      <c r="F46" s="503">
        <v>2.3E-2</v>
      </c>
      <c r="G46" s="508">
        <v>82.67</v>
      </c>
      <c r="H46" s="508">
        <v>6.38</v>
      </c>
      <c r="I46" s="400">
        <v>7.15</v>
      </c>
      <c r="J46" s="499">
        <v>0.183</v>
      </c>
      <c r="K46" s="1"/>
    </row>
    <row r="47" spans="1:11" ht="35.049999999999997" customHeight="1" x14ac:dyDescent="0.3">
      <c r="A47" s="401" t="s">
        <v>816</v>
      </c>
      <c r="B47" s="24"/>
      <c r="C47" s="406">
        <v>0</v>
      </c>
      <c r="D47" s="501">
        <v>0.249</v>
      </c>
      <c r="E47" s="502">
        <v>0</v>
      </c>
      <c r="F47" s="503">
        <v>0</v>
      </c>
      <c r="G47" s="508">
        <v>0.02</v>
      </c>
      <c r="H47" s="508">
        <v>6.38</v>
      </c>
      <c r="I47" s="400">
        <v>7.15</v>
      </c>
      <c r="J47" s="499">
        <v>0.183</v>
      </c>
      <c r="K47" s="1"/>
    </row>
    <row r="48" spans="1:11" ht="35.049999999999997" customHeight="1" x14ac:dyDescent="0.3">
      <c r="A48" s="401" t="s">
        <v>817</v>
      </c>
      <c r="B48" s="24"/>
      <c r="C48" s="406">
        <v>0</v>
      </c>
      <c r="D48" s="501">
        <v>0.11600000000000001</v>
      </c>
      <c r="E48" s="502">
        <v>0</v>
      </c>
      <c r="F48" s="503">
        <v>0</v>
      </c>
      <c r="G48" s="508">
        <v>0.02</v>
      </c>
      <c r="H48" s="508">
        <v>6.38</v>
      </c>
      <c r="I48" s="400">
        <v>7.15</v>
      </c>
      <c r="J48" s="499">
        <v>0.183</v>
      </c>
      <c r="K48" s="1"/>
    </row>
    <row r="49" spans="1:11" ht="35.049999999999997" customHeight="1" x14ac:dyDescent="0.3">
      <c r="A49" s="401" t="s">
        <v>818</v>
      </c>
      <c r="B49" s="24"/>
      <c r="C49" s="406">
        <v>0</v>
      </c>
      <c r="D49" s="501">
        <v>8.2000000000000003E-2</v>
      </c>
      <c r="E49" s="502">
        <v>0</v>
      </c>
      <c r="F49" s="503">
        <v>0</v>
      </c>
      <c r="G49" s="508">
        <v>0.02</v>
      </c>
      <c r="H49" s="508">
        <v>6.38</v>
      </c>
      <c r="I49" s="400">
        <v>7.15</v>
      </c>
      <c r="J49" s="499">
        <v>0.183</v>
      </c>
      <c r="K49" s="1"/>
    </row>
    <row r="50" spans="1:11" ht="35.049999999999997" customHeight="1" x14ac:dyDescent="0.3">
      <c r="A50" s="401" t="s">
        <v>819</v>
      </c>
      <c r="B50" s="24"/>
      <c r="C50" s="406">
        <v>0</v>
      </c>
      <c r="D50" s="501">
        <v>4.9000000000000002E-2</v>
      </c>
      <c r="E50" s="502">
        <v>0</v>
      </c>
      <c r="F50" s="503">
        <v>0</v>
      </c>
      <c r="G50" s="508">
        <v>0.02</v>
      </c>
      <c r="H50" s="508">
        <v>6.38</v>
      </c>
      <c r="I50" s="400">
        <v>7.15</v>
      </c>
      <c r="J50" s="499">
        <v>0.183</v>
      </c>
      <c r="K50" s="1"/>
    </row>
    <row r="51" spans="1:11" ht="35.049999999999997" customHeight="1" x14ac:dyDescent="0.3">
      <c r="A51" s="401" t="s">
        <v>585</v>
      </c>
      <c r="B51" s="24"/>
      <c r="C51" s="406" t="s">
        <v>616</v>
      </c>
      <c r="D51" s="504">
        <v>19.245999999999999</v>
      </c>
      <c r="E51" s="505">
        <v>0.95299999999999996</v>
      </c>
      <c r="F51" s="503">
        <v>7.0000000000000007E-2</v>
      </c>
      <c r="G51" s="509"/>
      <c r="H51" s="509"/>
      <c r="I51" s="399"/>
      <c r="J51" s="500"/>
      <c r="K51" s="1"/>
    </row>
    <row r="52" spans="1:11" ht="35.049999999999997" customHeight="1" x14ac:dyDescent="0.3">
      <c r="A52" s="401" t="s">
        <v>688</v>
      </c>
      <c r="B52" s="24"/>
      <c r="C52" s="406">
        <v>0</v>
      </c>
      <c r="D52" s="501">
        <v>-5.5890000000000004</v>
      </c>
      <c r="E52" s="502">
        <v>-0.77600000000000002</v>
      </c>
      <c r="F52" s="503">
        <v>-0.111</v>
      </c>
      <c r="G52" s="508">
        <v>0</v>
      </c>
      <c r="H52" s="509"/>
      <c r="I52" s="399"/>
      <c r="J52" s="500"/>
      <c r="K52" s="1"/>
    </row>
    <row r="53" spans="1:11" ht="35.049999999999997" customHeight="1" x14ac:dyDescent="0.3">
      <c r="A53" s="401" t="s">
        <v>689</v>
      </c>
      <c r="B53" s="402"/>
      <c r="C53" s="406">
        <v>0</v>
      </c>
      <c r="D53" s="501">
        <v>-4.8890000000000002</v>
      </c>
      <c r="E53" s="502">
        <v>-0.68300000000000005</v>
      </c>
      <c r="F53" s="503">
        <v>-9.0999999999999998E-2</v>
      </c>
      <c r="G53" s="508">
        <v>0</v>
      </c>
      <c r="H53" s="509"/>
      <c r="I53" s="399"/>
      <c r="J53" s="500"/>
      <c r="K53" s="1"/>
    </row>
    <row r="54" spans="1:11" ht="35.049999999999997" customHeight="1" x14ac:dyDescent="0.3">
      <c r="A54" s="401" t="s">
        <v>599</v>
      </c>
      <c r="B54" s="24"/>
      <c r="C54" s="406">
        <v>0</v>
      </c>
      <c r="D54" s="501">
        <v>-5.5890000000000004</v>
      </c>
      <c r="E54" s="502">
        <v>-0.77600000000000002</v>
      </c>
      <c r="F54" s="503">
        <v>-0.111</v>
      </c>
      <c r="G54" s="508">
        <v>0</v>
      </c>
      <c r="H54" s="509"/>
      <c r="I54" s="399"/>
      <c r="J54" s="499">
        <v>0.38200000000000001</v>
      </c>
      <c r="K54" s="1"/>
    </row>
    <row r="55" spans="1:11" ht="35.049999999999997" customHeight="1" x14ac:dyDescent="0.3">
      <c r="A55" s="401" t="s">
        <v>690</v>
      </c>
      <c r="B55" s="24"/>
      <c r="C55" s="406">
        <v>0</v>
      </c>
      <c r="D55" s="501">
        <v>-4.8890000000000002</v>
      </c>
      <c r="E55" s="502">
        <v>-0.68300000000000005</v>
      </c>
      <c r="F55" s="503">
        <v>-9.0999999999999998E-2</v>
      </c>
      <c r="G55" s="508">
        <v>0</v>
      </c>
      <c r="H55" s="509"/>
      <c r="I55" s="399"/>
      <c r="J55" s="499">
        <v>0.33500000000000002</v>
      </c>
      <c r="K55" s="1"/>
    </row>
    <row r="56" spans="1:11" ht="35.049999999999997" customHeight="1" x14ac:dyDescent="0.3">
      <c r="A56" s="401" t="s">
        <v>600</v>
      </c>
      <c r="B56" s="24"/>
      <c r="C56" s="406">
        <v>0</v>
      </c>
      <c r="D56" s="501">
        <v>-3.2280000000000002</v>
      </c>
      <c r="E56" s="502">
        <v>-0.46400000000000002</v>
      </c>
      <c r="F56" s="503">
        <v>-3.5000000000000003E-2</v>
      </c>
      <c r="G56" s="508">
        <v>0</v>
      </c>
      <c r="H56" s="509"/>
      <c r="I56" s="399"/>
      <c r="J56" s="499">
        <v>0.29099999999999998</v>
      </c>
      <c r="K56" s="1"/>
    </row>
    <row r="57" spans="1:11" ht="35.049999999999997" customHeight="1" x14ac:dyDescent="0.3">
      <c r="A57" s="398" t="s">
        <v>820</v>
      </c>
      <c r="B57" s="24"/>
      <c r="C57" s="406" t="s">
        <v>639</v>
      </c>
      <c r="D57" s="501">
        <v>4.8040000000000003</v>
      </c>
      <c r="E57" s="502">
        <v>0.497</v>
      </c>
      <c r="F57" s="503">
        <v>0</v>
      </c>
      <c r="G57" s="508">
        <v>0.11</v>
      </c>
      <c r="H57" s="509"/>
      <c r="I57" s="399"/>
      <c r="J57" s="500"/>
      <c r="K57" s="1"/>
    </row>
    <row r="58" spans="1:11" ht="35.049999999999997" customHeight="1" x14ac:dyDescent="0.3">
      <c r="A58" s="398" t="s">
        <v>821</v>
      </c>
      <c r="B58" s="24"/>
      <c r="C58" s="406" t="s">
        <v>575</v>
      </c>
      <c r="D58" s="501">
        <v>5.0019999999999998</v>
      </c>
      <c r="E58" s="502">
        <v>0.69499999999999995</v>
      </c>
      <c r="F58" s="503">
        <v>0.1</v>
      </c>
      <c r="G58" s="509"/>
      <c r="H58" s="509"/>
      <c r="I58" s="399"/>
      <c r="J58" s="500"/>
      <c r="K58" s="1"/>
    </row>
    <row r="59" spans="1:11" ht="35.049999999999997" customHeight="1" x14ac:dyDescent="0.3">
      <c r="A59" s="398" t="s">
        <v>822</v>
      </c>
      <c r="B59" s="24"/>
      <c r="C59" s="406" t="s">
        <v>640</v>
      </c>
      <c r="D59" s="501">
        <v>2.96</v>
      </c>
      <c r="E59" s="502">
        <v>0.41099999999999998</v>
      </c>
      <c r="F59" s="503">
        <v>5.8999999999999997E-2</v>
      </c>
      <c r="G59" s="508">
        <v>1.8</v>
      </c>
      <c r="H59" s="509"/>
      <c r="I59" s="399"/>
      <c r="J59" s="500"/>
      <c r="K59" s="1"/>
    </row>
    <row r="60" spans="1:11" ht="35.049999999999997" customHeight="1" x14ac:dyDescent="0.3">
      <c r="A60" s="398" t="s">
        <v>823</v>
      </c>
      <c r="B60" s="24"/>
      <c r="C60" s="406" t="s">
        <v>640</v>
      </c>
      <c r="D60" s="501">
        <v>2.96</v>
      </c>
      <c r="E60" s="502">
        <v>0.41099999999999998</v>
      </c>
      <c r="F60" s="503">
        <v>5.8999999999999997E-2</v>
      </c>
      <c r="G60" s="508">
        <v>0.59</v>
      </c>
      <c r="H60" s="509"/>
      <c r="I60" s="399"/>
      <c r="J60" s="500"/>
      <c r="K60" s="1"/>
    </row>
    <row r="61" spans="1:11" ht="35.049999999999997" customHeight="1" x14ac:dyDescent="0.3">
      <c r="A61" s="398" t="s">
        <v>824</v>
      </c>
      <c r="B61" s="24"/>
      <c r="C61" s="406" t="s">
        <v>640</v>
      </c>
      <c r="D61" s="501">
        <v>2.528</v>
      </c>
      <c r="E61" s="502">
        <v>0</v>
      </c>
      <c r="F61" s="503">
        <v>0</v>
      </c>
      <c r="G61" s="508">
        <v>0.06</v>
      </c>
      <c r="H61" s="509"/>
      <c r="I61" s="399"/>
      <c r="J61" s="500"/>
      <c r="K61" s="1"/>
    </row>
    <row r="62" spans="1:11" ht="35.049999999999997" customHeight="1" x14ac:dyDescent="0.3">
      <c r="A62" s="398" t="s">
        <v>825</v>
      </c>
      <c r="B62" s="24"/>
      <c r="C62" s="406" t="s">
        <v>640</v>
      </c>
      <c r="D62" s="501">
        <v>2.347</v>
      </c>
      <c r="E62" s="502">
        <v>0</v>
      </c>
      <c r="F62" s="503">
        <v>0</v>
      </c>
      <c r="G62" s="508">
        <v>0.06</v>
      </c>
      <c r="H62" s="509"/>
      <c r="I62" s="399"/>
      <c r="J62" s="500"/>
      <c r="K62" s="1"/>
    </row>
    <row r="63" spans="1:11" ht="35.049999999999997" customHeight="1" x14ac:dyDescent="0.3">
      <c r="A63" s="398" t="s">
        <v>826</v>
      </c>
      <c r="B63" s="24"/>
      <c r="C63" s="406" t="s">
        <v>640</v>
      </c>
      <c r="D63" s="501">
        <v>2.2570000000000001</v>
      </c>
      <c r="E63" s="502">
        <v>0</v>
      </c>
      <c r="F63" s="503">
        <v>0</v>
      </c>
      <c r="G63" s="508">
        <v>0.06</v>
      </c>
      <c r="H63" s="509"/>
      <c r="I63" s="399"/>
      <c r="J63" s="500"/>
      <c r="K63" s="1"/>
    </row>
    <row r="64" spans="1:11" ht="35.049999999999997" customHeight="1" x14ac:dyDescent="0.3">
      <c r="A64" s="398" t="s">
        <v>586</v>
      </c>
      <c r="B64" s="24"/>
      <c r="C64" s="406" t="s">
        <v>577</v>
      </c>
      <c r="D64" s="501">
        <v>2.96</v>
      </c>
      <c r="E64" s="502">
        <v>0.41099999999999998</v>
      </c>
      <c r="F64" s="503">
        <v>5.8999999999999997E-2</v>
      </c>
      <c r="G64" s="509"/>
      <c r="H64" s="509"/>
      <c r="I64" s="399"/>
      <c r="J64" s="500"/>
      <c r="K64" s="1"/>
    </row>
    <row r="65" spans="1:11" ht="35.049999999999997" customHeight="1" x14ac:dyDescent="0.3">
      <c r="A65" s="398" t="s">
        <v>827</v>
      </c>
      <c r="B65" s="24"/>
      <c r="C65" s="406">
        <v>0</v>
      </c>
      <c r="D65" s="501">
        <v>2.6949999999999998</v>
      </c>
      <c r="E65" s="502">
        <v>0.378</v>
      </c>
      <c r="F65" s="503">
        <v>4.7E-2</v>
      </c>
      <c r="G65" s="508">
        <v>4.93</v>
      </c>
      <c r="H65" s="508">
        <v>2.1</v>
      </c>
      <c r="I65" s="400">
        <v>3.25</v>
      </c>
      <c r="J65" s="499">
        <v>0.22600000000000001</v>
      </c>
      <c r="K65" s="1"/>
    </row>
    <row r="66" spans="1:11" ht="35.049999999999997" customHeight="1" x14ac:dyDescent="0.3">
      <c r="A66" s="398" t="s">
        <v>828</v>
      </c>
      <c r="B66" s="24"/>
      <c r="C66" s="406">
        <v>0</v>
      </c>
      <c r="D66" s="501">
        <v>1.6579999999999999</v>
      </c>
      <c r="E66" s="502">
        <v>9.8000000000000004E-2</v>
      </c>
      <c r="F66" s="503">
        <v>2.5999999999999999E-2</v>
      </c>
      <c r="G66" s="508">
        <v>1.1399999999999999</v>
      </c>
      <c r="H66" s="508">
        <v>2.1</v>
      </c>
      <c r="I66" s="400">
        <v>3.25</v>
      </c>
      <c r="J66" s="499">
        <v>0.22600000000000001</v>
      </c>
      <c r="K66" s="1"/>
    </row>
    <row r="67" spans="1:11" ht="35.049999999999997" customHeight="1" x14ac:dyDescent="0.3">
      <c r="A67" s="398" t="s">
        <v>829</v>
      </c>
      <c r="B67" s="24"/>
      <c r="C67" s="406">
        <v>0</v>
      </c>
      <c r="D67" s="501">
        <v>1.64</v>
      </c>
      <c r="E67" s="502">
        <v>9.8000000000000004E-2</v>
      </c>
      <c r="F67" s="503">
        <v>2.5999999999999999E-2</v>
      </c>
      <c r="G67" s="508">
        <v>1.1399999999999999</v>
      </c>
      <c r="H67" s="508">
        <v>2.1</v>
      </c>
      <c r="I67" s="400">
        <v>3.25</v>
      </c>
      <c r="J67" s="499">
        <v>0.22600000000000001</v>
      </c>
      <c r="K67" s="1"/>
    </row>
    <row r="68" spans="1:11" ht="35.049999999999997" customHeight="1" x14ac:dyDescent="0.3">
      <c r="A68" s="398" t="s">
        <v>830</v>
      </c>
      <c r="B68" s="24"/>
      <c r="C68" s="406">
        <v>0</v>
      </c>
      <c r="D68" s="501">
        <v>1.623</v>
      </c>
      <c r="E68" s="502">
        <v>9.8000000000000004E-2</v>
      </c>
      <c r="F68" s="503">
        <v>2.5999999999999999E-2</v>
      </c>
      <c r="G68" s="508">
        <v>1.1399999999999999</v>
      </c>
      <c r="H68" s="508">
        <v>2.1</v>
      </c>
      <c r="I68" s="400">
        <v>3.25</v>
      </c>
      <c r="J68" s="499">
        <v>0.22600000000000001</v>
      </c>
      <c r="K68" s="1"/>
    </row>
    <row r="69" spans="1:11" ht="35.049999999999997" customHeight="1" x14ac:dyDescent="0.3">
      <c r="A69" s="398" t="s">
        <v>831</v>
      </c>
      <c r="B69" s="24"/>
      <c r="C69" s="406">
        <v>0</v>
      </c>
      <c r="D69" s="501">
        <v>1.61</v>
      </c>
      <c r="E69" s="502">
        <v>9.8000000000000004E-2</v>
      </c>
      <c r="F69" s="503">
        <v>2.5999999999999999E-2</v>
      </c>
      <c r="G69" s="508">
        <v>1.1399999999999999</v>
      </c>
      <c r="H69" s="508">
        <v>2.1</v>
      </c>
      <c r="I69" s="400">
        <v>3.25</v>
      </c>
      <c r="J69" s="499">
        <v>0.22600000000000001</v>
      </c>
      <c r="K69" s="1"/>
    </row>
    <row r="70" spans="1:11" ht="35.049999999999997" customHeight="1" x14ac:dyDescent="0.3">
      <c r="A70" s="398" t="s">
        <v>832</v>
      </c>
      <c r="B70" s="24"/>
      <c r="C70" s="406">
        <v>0</v>
      </c>
      <c r="D70" s="501">
        <v>2.6850000000000001</v>
      </c>
      <c r="E70" s="502">
        <v>0.38600000000000001</v>
      </c>
      <c r="F70" s="503">
        <v>2.9000000000000001E-2</v>
      </c>
      <c r="G70" s="508">
        <v>5.27</v>
      </c>
      <c r="H70" s="508">
        <v>4.92</v>
      </c>
      <c r="I70" s="400">
        <v>5.59</v>
      </c>
      <c r="J70" s="499">
        <v>0.187</v>
      </c>
      <c r="K70" s="1"/>
    </row>
    <row r="71" spans="1:11" ht="35.049999999999997" customHeight="1" x14ac:dyDescent="0.3">
      <c r="A71" s="398" t="s">
        <v>833</v>
      </c>
      <c r="B71" s="24"/>
      <c r="C71" s="406">
        <v>0</v>
      </c>
      <c r="D71" s="501">
        <v>1.2549999999999999</v>
      </c>
      <c r="E71" s="502">
        <v>0</v>
      </c>
      <c r="F71" s="503">
        <v>0</v>
      </c>
      <c r="G71" s="508">
        <v>0.04</v>
      </c>
      <c r="H71" s="508">
        <v>4.92</v>
      </c>
      <c r="I71" s="400">
        <v>5.59</v>
      </c>
      <c r="J71" s="499">
        <v>0.187</v>
      </c>
      <c r="K71" s="1"/>
    </row>
    <row r="72" spans="1:11" ht="35.049999999999997" customHeight="1" x14ac:dyDescent="0.3">
      <c r="A72" s="398" t="s">
        <v>834</v>
      </c>
      <c r="B72" s="24"/>
      <c r="C72" s="406">
        <v>0</v>
      </c>
      <c r="D72" s="501">
        <v>1.23</v>
      </c>
      <c r="E72" s="502">
        <v>0</v>
      </c>
      <c r="F72" s="503">
        <v>0</v>
      </c>
      <c r="G72" s="508">
        <v>0.04</v>
      </c>
      <c r="H72" s="508">
        <v>4.92</v>
      </c>
      <c r="I72" s="400">
        <v>5.59</v>
      </c>
      <c r="J72" s="499">
        <v>0.187</v>
      </c>
      <c r="K72" s="1"/>
    </row>
    <row r="73" spans="1:11" ht="35.049999999999997" customHeight="1" x14ac:dyDescent="0.3">
      <c r="A73" s="398" t="s">
        <v>835</v>
      </c>
      <c r="B73" s="24"/>
      <c r="C73" s="406">
        <v>0</v>
      </c>
      <c r="D73" s="501">
        <v>1.2070000000000001</v>
      </c>
      <c r="E73" s="502">
        <v>0</v>
      </c>
      <c r="F73" s="503">
        <v>0</v>
      </c>
      <c r="G73" s="508">
        <v>0.04</v>
      </c>
      <c r="H73" s="508">
        <v>4.92</v>
      </c>
      <c r="I73" s="400">
        <v>5.59</v>
      </c>
      <c r="J73" s="499">
        <v>0.187</v>
      </c>
      <c r="K73" s="1"/>
    </row>
    <row r="74" spans="1:11" ht="35.049999999999997" customHeight="1" x14ac:dyDescent="0.3">
      <c r="A74" s="398" t="s">
        <v>836</v>
      </c>
      <c r="B74" s="24"/>
      <c r="C74" s="406">
        <v>0</v>
      </c>
      <c r="D74" s="501">
        <v>1.1890000000000001</v>
      </c>
      <c r="E74" s="502">
        <v>0</v>
      </c>
      <c r="F74" s="503">
        <v>0</v>
      </c>
      <c r="G74" s="508">
        <v>0.04</v>
      </c>
      <c r="H74" s="508">
        <v>4.92</v>
      </c>
      <c r="I74" s="400">
        <v>5.59</v>
      </c>
      <c r="J74" s="499">
        <v>0.187</v>
      </c>
      <c r="K74" s="1"/>
    </row>
    <row r="75" spans="1:11" ht="35.049999999999997" customHeight="1" x14ac:dyDescent="0.3">
      <c r="A75" s="398" t="s">
        <v>837</v>
      </c>
      <c r="B75" s="24"/>
      <c r="C75" s="406">
        <v>0</v>
      </c>
      <c r="D75" s="501">
        <v>2.0150000000000001</v>
      </c>
      <c r="E75" s="502">
        <v>0.28199999999999997</v>
      </c>
      <c r="F75" s="503">
        <v>0.02</v>
      </c>
      <c r="G75" s="508">
        <v>72.72</v>
      </c>
      <c r="H75" s="508">
        <v>5.61</v>
      </c>
      <c r="I75" s="400">
        <v>6.29</v>
      </c>
      <c r="J75" s="499">
        <v>0.161</v>
      </c>
      <c r="K75" s="1"/>
    </row>
    <row r="76" spans="1:11" ht="35.049999999999997" customHeight="1" x14ac:dyDescent="0.3">
      <c r="A76" s="398" t="s">
        <v>838</v>
      </c>
      <c r="B76" s="24"/>
      <c r="C76" s="406">
        <v>0</v>
      </c>
      <c r="D76" s="501">
        <v>0.219</v>
      </c>
      <c r="E76" s="502">
        <v>0</v>
      </c>
      <c r="F76" s="503">
        <v>0</v>
      </c>
      <c r="G76" s="508">
        <v>0.03</v>
      </c>
      <c r="H76" s="508">
        <v>5.61</v>
      </c>
      <c r="I76" s="400">
        <v>6.29</v>
      </c>
      <c r="J76" s="499">
        <v>0.161</v>
      </c>
      <c r="K76" s="1"/>
    </row>
    <row r="77" spans="1:11" ht="35.049999999999997" customHeight="1" x14ac:dyDescent="0.3">
      <c r="A77" s="398" t="s">
        <v>839</v>
      </c>
      <c r="B77" s="24"/>
      <c r="C77" s="406">
        <v>0</v>
      </c>
      <c r="D77" s="501">
        <v>0.10199999999999999</v>
      </c>
      <c r="E77" s="502">
        <v>0</v>
      </c>
      <c r="F77" s="503">
        <v>0</v>
      </c>
      <c r="G77" s="508">
        <v>0.03</v>
      </c>
      <c r="H77" s="508">
        <v>5.61</v>
      </c>
      <c r="I77" s="400">
        <v>6.29</v>
      </c>
      <c r="J77" s="499">
        <v>0.161</v>
      </c>
      <c r="K77" s="1"/>
    </row>
    <row r="78" spans="1:11" ht="35.049999999999997" customHeight="1" x14ac:dyDescent="0.3">
      <c r="A78" s="398" t="s">
        <v>840</v>
      </c>
      <c r="B78" s="24"/>
      <c r="C78" s="406">
        <v>0</v>
      </c>
      <c r="D78" s="501">
        <v>7.1999999999999995E-2</v>
      </c>
      <c r="E78" s="502">
        <v>0</v>
      </c>
      <c r="F78" s="503">
        <v>0</v>
      </c>
      <c r="G78" s="508">
        <v>0.03</v>
      </c>
      <c r="H78" s="508">
        <v>5.61</v>
      </c>
      <c r="I78" s="400">
        <v>6.29</v>
      </c>
      <c r="J78" s="499">
        <v>0.161</v>
      </c>
      <c r="K78" s="1"/>
    </row>
    <row r="79" spans="1:11" ht="35.049999999999997" customHeight="1" x14ac:dyDescent="0.3">
      <c r="A79" s="398" t="s">
        <v>841</v>
      </c>
      <c r="B79" s="24"/>
      <c r="C79" s="406">
        <v>0</v>
      </c>
      <c r="D79" s="501">
        <v>4.2999999999999997E-2</v>
      </c>
      <c r="E79" s="502">
        <v>0</v>
      </c>
      <c r="F79" s="503">
        <v>0</v>
      </c>
      <c r="G79" s="508">
        <v>0.03</v>
      </c>
      <c r="H79" s="508">
        <v>5.61</v>
      </c>
      <c r="I79" s="400">
        <v>6.29</v>
      </c>
      <c r="J79" s="499">
        <v>0.161</v>
      </c>
      <c r="K79" s="1"/>
    </row>
    <row r="80" spans="1:11" ht="35.049999999999997" customHeight="1" x14ac:dyDescent="0.3">
      <c r="A80" s="398" t="s">
        <v>587</v>
      </c>
      <c r="B80" s="24"/>
      <c r="C80" s="406" t="s">
        <v>616</v>
      </c>
      <c r="D80" s="504">
        <v>17.126000000000001</v>
      </c>
      <c r="E80" s="505">
        <v>0.84799999999999998</v>
      </c>
      <c r="F80" s="503">
        <v>6.2E-2</v>
      </c>
      <c r="G80" s="509"/>
      <c r="H80" s="509"/>
      <c r="I80" s="399"/>
      <c r="J80" s="500"/>
      <c r="K80" s="1"/>
    </row>
    <row r="81" spans="1:11" ht="35.049999999999997" customHeight="1" x14ac:dyDescent="0.3">
      <c r="A81" s="398" t="s">
        <v>691</v>
      </c>
      <c r="B81" s="24"/>
      <c r="C81" s="406">
        <v>0</v>
      </c>
      <c r="D81" s="501">
        <v>-3.8719999999999999</v>
      </c>
      <c r="E81" s="502">
        <v>-0.53800000000000003</v>
      </c>
      <c r="F81" s="503">
        <v>-7.6999999999999999E-2</v>
      </c>
      <c r="G81" s="508">
        <v>0</v>
      </c>
      <c r="H81" s="509"/>
      <c r="I81" s="399"/>
      <c r="J81" s="500"/>
      <c r="K81" s="1"/>
    </row>
    <row r="82" spans="1:11" ht="35.049999999999997" customHeight="1" x14ac:dyDescent="0.3">
      <c r="A82" s="398" t="s">
        <v>692</v>
      </c>
      <c r="B82" s="402"/>
      <c r="C82" s="406">
        <v>0</v>
      </c>
      <c r="D82" s="501">
        <v>-3.7490000000000001</v>
      </c>
      <c r="E82" s="502">
        <v>-0.52400000000000002</v>
      </c>
      <c r="F82" s="503">
        <v>-6.9000000000000006E-2</v>
      </c>
      <c r="G82" s="508">
        <v>0</v>
      </c>
      <c r="H82" s="509"/>
      <c r="I82" s="399"/>
      <c r="J82" s="500"/>
      <c r="K82" s="1"/>
    </row>
    <row r="83" spans="1:11" ht="35.049999999999997" customHeight="1" x14ac:dyDescent="0.3">
      <c r="A83" s="398" t="s">
        <v>693</v>
      </c>
      <c r="B83" s="24"/>
      <c r="C83" s="406">
        <v>0</v>
      </c>
      <c r="D83" s="501">
        <v>-3.8719999999999999</v>
      </c>
      <c r="E83" s="502">
        <v>-0.53800000000000003</v>
      </c>
      <c r="F83" s="503">
        <v>-7.6999999999999999E-2</v>
      </c>
      <c r="G83" s="508">
        <v>0</v>
      </c>
      <c r="H83" s="509"/>
      <c r="I83" s="399"/>
      <c r="J83" s="499">
        <v>0.26500000000000001</v>
      </c>
      <c r="K83" s="1"/>
    </row>
    <row r="84" spans="1:11" ht="35.049999999999997" customHeight="1" x14ac:dyDescent="0.3">
      <c r="A84" s="398" t="s">
        <v>694</v>
      </c>
      <c r="B84" s="24"/>
      <c r="C84" s="406">
        <v>0</v>
      </c>
      <c r="D84" s="501">
        <v>-3.7490000000000001</v>
      </c>
      <c r="E84" s="502">
        <v>-0.52400000000000002</v>
      </c>
      <c r="F84" s="503">
        <v>-6.9000000000000006E-2</v>
      </c>
      <c r="G84" s="508">
        <v>0</v>
      </c>
      <c r="H84" s="509"/>
      <c r="I84" s="399"/>
      <c r="J84" s="499">
        <v>0.25700000000000001</v>
      </c>
      <c r="K84" s="1"/>
    </row>
    <row r="85" spans="1:11" ht="35.049999999999997" customHeight="1" x14ac:dyDescent="0.3">
      <c r="A85" s="398" t="s">
        <v>695</v>
      </c>
      <c r="B85" s="24"/>
      <c r="C85" s="406">
        <v>0</v>
      </c>
      <c r="D85" s="501">
        <v>-3.2280000000000002</v>
      </c>
      <c r="E85" s="502">
        <v>-0.46400000000000002</v>
      </c>
      <c r="F85" s="503">
        <v>-3.5000000000000003E-2</v>
      </c>
      <c r="G85" s="508">
        <v>7.37</v>
      </c>
      <c r="H85" s="509"/>
      <c r="I85" s="399"/>
      <c r="J85" s="499">
        <v>0.29099999999999998</v>
      </c>
      <c r="K85" s="1"/>
    </row>
    <row r="86" spans="1:11" ht="35.049999999999997" customHeight="1" x14ac:dyDescent="0.3">
      <c r="A86" s="398" t="s">
        <v>842</v>
      </c>
      <c r="B86" s="24"/>
      <c r="C86" s="406" t="s">
        <v>639</v>
      </c>
      <c r="D86" s="501">
        <v>3.72</v>
      </c>
      <c r="E86" s="502">
        <v>0.38500000000000001</v>
      </c>
      <c r="F86" s="503">
        <v>0</v>
      </c>
      <c r="G86" s="508">
        <v>0.13</v>
      </c>
      <c r="H86" s="509"/>
      <c r="I86" s="399"/>
      <c r="J86" s="500"/>
      <c r="K86" s="1"/>
    </row>
    <row r="87" spans="1:11" ht="35.049999999999997" customHeight="1" x14ac:dyDescent="0.3">
      <c r="A87" s="398" t="s">
        <v>843</v>
      </c>
      <c r="B87" s="24"/>
      <c r="C87" s="406" t="s">
        <v>575</v>
      </c>
      <c r="D87" s="501">
        <v>3.8740000000000001</v>
      </c>
      <c r="E87" s="502">
        <v>0.53800000000000003</v>
      </c>
      <c r="F87" s="503">
        <v>7.6999999999999999E-2</v>
      </c>
      <c r="G87" s="509"/>
      <c r="H87" s="509"/>
      <c r="I87" s="399"/>
      <c r="J87" s="500"/>
      <c r="K87" s="1"/>
    </row>
    <row r="88" spans="1:11" ht="35.049999999999997" customHeight="1" x14ac:dyDescent="0.3">
      <c r="A88" s="398" t="s">
        <v>844</v>
      </c>
      <c r="B88" s="24"/>
      <c r="C88" s="406" t="s">
        <v>640</v>
      </c>
      <c r="D88" s="501">
        <v>2.2919999999999998</v>
      </c>
      <c r="E88" s="502">
        <v>0.318</v>
      </c>
      <c r="F88" s="503">
        <v>4.5999999999999999E-2</v>
      </c>
      <c r="G88" s="508">
        <v>1.42</v>
      </c>
      <c r="H88" s="509"/>
      <c r="I88" s="399"/>
      <c r="J88" s="500"/>
      <c r="K88" s="1"/>
    </row>
    <row r="89" spans="1:11" ht="35.049999999999997" customHeight="1" x14ac:dyDescent="0.3">
      <c r="A89" s="398" t="s">
        <v>845</v>
      </c>
      <c r="B89" s="24"/>
      <c r="C89" s="406" t="s">
        <v>640</v>
      </c>
      <c r="D89" s="501">
        <v>2.2919999999999998</v>
      </c>
      <c r="E89" s="502">
        <v>0.318</v>
      </c>
      <c r="F89" s="503">
        <v>4.5999999999999999E-2</v>
      </c>
      <c r="G89" s="508">
        <v>0.48</v>
      </c>
      <c r="H89" s="509"/>
      <c r="I89" s="399"/>
      <c r="J89" s="500"/>
      <c r="K89" s="1"/>
    </row>
    <row r="90" spans="1:11" ht="35.049999999999997" customHeight="1" x14ac:dyDescent="0.3">
      <c r="A90" s="398" t="s">
        <v>846</v>
      </c>
      <c r="B90" s="24"/>
      <c r="C90" s="406" t="s">
        <v>640</v>
      </c>
      <c r="D90" s="501">
        <v>1.958</v>
      </c>
      <c r="E90" s="502">
        <v>0</v>
      </c>
      <c r="F90" s="503">
        <v>0</v>
      </c>
      <c r="G90" s="508">
        <v>0.08</v>
      </c>
      <c r="H90" s="509"/>
      <c r="I90" s="399"/>
      <c r="J90" s="500"/>
      <c r="K90" s="1"/>
    </row>
    <row r="91" spans="1:11" ht="35.049999999999997" customHeight="1" x14ac:dyDescent="0.3">
      <c r="A91" s="398" t="s">
        <v>847</v>
      </c>
      <c r="B91" s="24"/>
      <c r="C91" s="406" t="s">
        <v>640</v>
      </c>
      <c r="D91" s="501">
        <v>1.8180000000000001</v>
      </c>
      <c r="E91" s="502">
        <v>0</v>
      </c>
      <c r="F91" s="503">
        <v>0</v>
      </c>
      <c r="G91" s="508">
        <v>0.08</v>
      </c>
      <c r="H91" s="509"/>
      <c r="I91" s="399"/>
      <c r="J91" s="500"/>
      <c r="K91" s="1"/>
    </row>
    <row r="92" spans="1:11" ht="35.049999999999997" customHeight="1" x14ac:dyDescent="0.3">
      <c r="A92" s="398" t="s">
        <v>848</v>
      </c>
      <c r="B92" s="24"/>
      <c r="C92" s="406" t="s">
        <v>640</v>
      </c>
      <c r="D92" s="501">
        <v>1.748</v>
      </c>
      <c r="E92" s="502">
        <v>0</v>
      </c>
      <c r="F92" s="503">
        <v>0</v>
      </c>
      <c r="G92" s="508">
        <v>0.08</v>
      </c>
      <c r="H92" s="509"/>
      <c r="I92" s="399"/>
      <c r="J92" s="500"/>
      <c r="K92" s="1"/>
    </row>
    <row r="93" spans="1:11" ht="35.049999999999997" customHeight="1" x14ac:dyDescent="0.3">
      <c r="A93" s="398" t="s">
        <v>588</v>
      </c>
      <c r="B93" s="24"/>
      <c r="C93" s="406" t="s">
        <v>577</v>
      </c>
      <c r="D93" s="501">
        <v>2.2919999999999998</v>
      </c>
      <c r="E93" s="502">
        <v>0.318</v>
      </c>
      <c r="F93" s="503">
        <v>4.5999999999999999E-2</v>
      </c>
      <c r="G93" s="509"/>
      <c r="H93" s="509"/>
      <c r="I93" s="399"/>
      <c r="J93" s="500"/>
      <c r="K93" s="1"/>
    </row>
    <row r="94" spans="1:11" ht="35.049999999999997" customHeight="1" x14ac:dyDescent="0.3">
      <c r="A94" s="398" t="s">
        <v>849</v>
      </c>
      <c r="B94" s="24"/>
      <c r="C94" s="406">
        <v>0</v>
      </c>
      <c r="D94" s="501">
        <v>2.0870000000000002</v>
      </c>
      <c r="E94" s="502">
        <v>0.29299999999999998</v>
      </c>
      <c r="F94" s="503">
        <v>3.5999999999999997E-2</v>
      </c>
      <c r="G94" s="508">
        <v>3.85</v>
      </c>
      <c r="H94" s="508">
        <v>1.62</v>
      </c>
      <c r="I94" s="400">
        <v>2.52</v>
      </c>
      <c r="J94" s="499">
        <v>0.17499999999999999</v>
      </c>
      <c r="K94" s="1"/>
    </row>
    <row r="95" spans="1:11" ht="35.049999999999997" customHeight="1" x14ac:dyDescent="0.3">
      <c r="A95" s="398" t="s">
        <v>850</v>
      </c>
      <c r="B95" s="24"/>
      <c r="C95" s="406">
        <v>0</v>
      </c>
      <c r="D95" s="501">
        <v>1.284</v>
      </c>
      <c r="E95" s="502">
        <v>7.5999999999999998E-2</v>
      </c>
      <c r="F95" s="503">
        <v>0.02</v>
      </c>
      <c r="G95" s="508">
        <v>0.91</v>
      </c>
      <c r="H95" s="508">
        <v>1.62</v>
      </c>
      <c r="I95" s="400">
        <v>2.52</v>
      </c>
      <c r="J95" s="499">
        <v>0.17499999999999999</v>
      </c>
      <c r="K95" s="1"/>
    </row>
    <row r="96" spans="1:11" ht="35.049999999999997" customHeight="1" x14ac:dyDescent="0.3">
      <c r="A96" s="398" t="s">
        <v>851</v>
      </c>
      <c r="B96" s="24"/>
      <c r="C96" s="406">
        <v>0</v>
      </c>
      <c r="D96" s="501">
        <v>1.27</v>
      </c>
      <c r="E96" s="502">
        <v>7.5999999999999998E-2</v>
      </c>
      <c r="F96" s="503">
        <v>0.02</v>
      </c>
      <c r="G96" s="508">
        <v>0.91</v>
      </c>
      <c r="H96" s="508">
        <v>1.62</v>
      </c>
      <c r="I96" s="400">
        <v>2.52</v>
      </c>
      <c r="J96" s="499">
        <v>0.17499999999999999</v>
      </c>
      <c r="K96" s="1"/>
    </row>
    <row r="97" spans="1:11" ht="35.049999999999997" customHeight="1" x14ac:dyDescent="0.3">
      <c r="A97" s="398" t="s">
        <v>852</v>
      </c>
      <c r="B97" s="24"/>
      <c r="C97" s="406">
        <v>0</v>
      </c>
      <c r="D97" s="501">
        <v>1.2569999999999999</v>
      </c>
      <c r="E97" s="502">
        <v>7.5999999999999998E-2</v>
      </c>
      <c r="F97" s="503">
        <v>0.02</v>
      </c>
      <c r="G97" s="508">
        <v>0.91</v>
      </c>
      <c r="H97" s="508">
        <v>1.62</v>
      </c>
      <c r="I97" s="400">
        <v>2.52</v>
      </c>
      <c r="J97" s="499">
        <v>0.17499999999999999</v>
      </c>
      <c r="K97" s="1"/>
    </row>
    <row r="98" spans="1:11" ht="35.049999999999997" customHeight="1" x14ac:dyDescent="0.3">
      <c r="A98" s="398" t="s">
        <v>853</v>
      </c>
      <c r="B98" s="24"/>
      <c r="C98" s="406">
        <v>0</v>
      </c>
      <c r="D98" s="501">
        <v>1.2470000000000001</v>
      </c>
      <c r="E98" s="502">
        <v>7.5999999999999998E-2</v>
      </c>
      <c r="F98" s="503">
        <v>0.02</v>
      </c>
      <c r="G98" s="508">
        <v>0.91</v>
      </c>
      <c r="H98" s="508">
        <v>1.62</v>
      </c>
      <c r="I98" s="400">
        <v>2.52</v>
      </c>
      <c r="J98" s="499">
        <v>0.17499999999999999</v>
      </c>
      <c r="K98" s="1"/>
    </row>
    <row r="99" spans="1:11" ht="35.049999999999997" customHeight="1" x14ac:dyDescent="0.3">
      <c r="A99" s="398" t="s">
        <v>854</v>
      </c>
      <c r="B99" s="24"/>
      <c r="C99" s="406">
        <v>0</v>
      </c>
      <c r="D99" s="501">
        <v>2.0790000000000002</v>
      </c>
      <c r="E99" s="502">
        <v>0.29899999999999999</v>
      </c>
      <c r="F99" s="503">
        <v>2.1999999999999999E-2</v>
      </c>
      <c r="G99" s="508">
        <v>4.1100000000000003</v>
      </c>
      <c r="H99" s="508">
        <v>3.81</v>
      </c>
      <c r="I99" s="400">
        <v>4.33</v>
      </c>
      <c r="J99" s="499">
        <v>0.14499999999999999</v>
      </c>
      <c r="K99" s="1"/>
    </row>
    <row r="100" spans="1:11" ht="35.049999999999997" customHeight="1" x14ac:dyDescent="0.3">
      <c r="A100" s="398" t="s">
        <v>855</v>
      </c>
      <c r="B100" s="24"/>
      <c r="C100" s="406">
        <v>0</v>
      </c>
      <c r="D100" s="501">
        <v>0.97199999999999998</v>
      </c>
      <c r="E100" s="502">
        <v>0</v>
      </c>
      <c r="F100" s="503">
        <v>0</v>
      </c>
      <c r="G100" s="508">
        <v>0.06</v>
      </c>
      <c r="H100" s="508">
        <v>3.81</v>
      </c>
      <c r="I100" s="400">
        <v>4.33</v>
      </c>
      <c r="J100" s="499">
        <v>0.14499999999999999</v>
      </c>
      <c r="K100" s="1"/>
    </row>
    <row r="101" spans="1:11" ht="35.049999999999997" customHeight="1" x14ac:dyDescent="0.3">
      <c r="A101" s="398" t="s">
        <v>856</v>
      </c>
      <c r="B101" s="24"/>
      <c r="C101" s="406">
        <v>0</v>
      </c>
      <c r="D101" s="501">
        <v>0.95299999999999996</v>
      </c>
      <c r="E101" s="502">
        <v>0</v>
      </c>
      <c r="F101" s="503">
        <v>0</v>
      </c>
      <c r="G101" s="508">
        <v>0.06</v>
      </c>
      <c r="H101" s="508">
        <v>3.81</v>
      </c>
      <c r="I101" s="400">
        <v>4.33</v>
      </c>
      <c r="J101" s="499">
        <v>0.14499999999999999</v>
      </c>
      <c r="K101" s="1"/>
    </row>
    <row r="102" spans="1:11" ht="35.049999999999997" customHeight="1" x14ac:dyDescent="0.3">
      <c r="A102" s="398" t="s">
        <v>857</v>
      </c>
      <c r="B102" s="24"/>
      <c r="C102" s="406">
        <v>0</v>
      </c>
      <c r="D102" s="501">
        <v>0.93500000000000005</v>
      </c>
      <c r="E102" s="502">
        <v>0</v>
      </c>
      <c r="F102" s="503">
        <v>0</v>
      </c>
      <c r="G102" s="508">
        <v>0.06</v>
      </c>
      <c r="H102" s="508">
        <v>3.81</v>
      </c>
      <c r="I102" s="400">
        <v>4.33</v>
      </c>
      <c r="J102" s="499">
        <v>0.14499999999999999</v>
      </c>
      <c r="K102" s="1"/>
    </row>
    <row r="103" spans="1:11" ht="35.049999999999997" customHeight="1" x14ac:dyDescent="0.3">
      <c r="A103" s="398" t="s">
        <v>858</v>
      </c>
      <c r="B103" s="24"/>
      <c r="C103" s="406">
        <v>0</v>
      </c>
      <c r="D103" s="501">
        <v>0.92100000000000004</v>
      </c>
      <c r="E103" s="502">
        <v>0</v>
      </c>
      <c r="F103" s="503">
        <v>0</v>
      </c>
      <c r="G103" s="508">
        <v>0.06</v>
      </c>
      <c r="H103" s="508">
        <v>3.81</v>
      </c>
      <c r="I103" s="400">
        <v>4.33</v>
      </c>
      <c r="J103" s="499">
        <v>0.14499999999999999</v>
      </c>
      <c r="K103" s="1"/>
    </row>
    <row r="104" spans="1:11" ht="35.049999999999997" customHeight="1" x14ac:dyDescent="0.3">
      <c r="A104" s="398" t="s">
        <v>859</v>
      </c>
      <c r="B104" s="24"/>
      <c r="C104" s="406">
        <v>0</v>
      </c>
      <c r="D104" s="501">
        <v>1.5609999999999999</v>
      </c>
      <c r="E104" s="502">
        <v>0.218</v>
      </c>
      <c r="F104" s="503">
        <v>1.4999999999999999E-2</v>
      </c>
      <c r="G104" s="508">
        <v>56.35</v>
      </c>
      <c r="H104" s="508">
        <v>4.34</v>
      </c>
      <c r="I104" s="400">
        <v>4.87</v>
      </c>
      <c r="J104" s="499">
        <v>0.125</v>
      </c>
      <c r="K104" s="1"/>
    </row>
    <row r="105" spans="1:11" ht="35.049999999999997" customHeight="1" x14ac:dyDescent="0.3">
      <c r="A105" s="398" t="s">
        <v>860</v>
      </c>
      <c r="B105" s="24"/>
      <c r="C105" s="406">
        <v>0</v>
      </c>
      <c r="D105" s="501">
        <v>0.17</v>
      </c>
      <c r="E105" s="502">
        <v>0</v>
      </c>
      <c r="F105" s="503">
        <v>0</v>
      </c>
      <c r="G105" s="508">
        <v>0.05</v>
      </c>
      <c r="H105" s="508">
        <v>4.34</v>
      </c>
      <c r="I105" s="400">
        <v>4.87</v>
      </c>
      <c r="J105" s="499">
        <v>0.125</v>
      </c>
      <c r="K105" s="1"/>
    </row>
    <row r="106" spans="1:11" ht="35.049999999999997" customHeight="1" x14ac:dyDescent="0.3">
      <c r="A106" s="398" t="s">
        <v>861</v>
      </c>
      <c r="B106" s="24"/>
      <c r="C106" s="406">
        <v>0</v>
      </c>
      <c r="D106" s="501">
        <v>7.9000000000000001E-2</v>
      </c>
      <c r="E106" s="502">
        <v>0</v>
      </c>
      <c r="F106" s="503">
        <v>0</v>
      </c>
      <c r="G106" s="508">
        <v>0.05</v>
      </c>
      <c r="H106" s="508">
        <v>4.34</v>
      </c>
      <c r="I106" s="400">
        <v>4.87</v>
      </c>
      <c r="J106" s="499">
        <v>0.125</v>
      </c>
      <c r="K106" s="1"/>
    </row>
    <row r="107" spans="1:11" ht="35.049999999999997" customHeight="1" x14ac:dyDescent="0.3">
      <c r="A107" s="398" t="s">
        <v>862</v>
      </c>
      <c r="B107" s="24"/>
      <c r="C107" s="406">
        <v>0</v>
      </c>
      <c r="D107" s="501">
        <v>5.6000000000000001E-2</v>
      </c>
      <c r="E107" s="502">
        <v>0</v>
      </c>
      <c r="F107" s="503">
        <v>0</v>
      </c>
      <c r="G107" s="508">
        <v>0.05</v>
      </c>
      <c r="H107" s="508">
        <v>4.34</v>
      </c>
      <c r="I107" s="400">
        <v>4.87</v>
      </c>
      <c r="J107" s="499">
        <v>0.125</v>
      </c>
      <c r="K107" s="1"/>
    </row>
    <row r="108" spans="1:11" ht="35.049999999999997" customHeight="1" x14ac:dyDescent="0.3">
      <c r="A108" s="398" t="s">
        <v>863</v>
      </c>
      <c r="B108" s="24"/>
      <c r="C108" s="406">
        <v>0</v>
      </c>
      <c r="D108" s="501">
        <v>3.3000000000000002E-2</v>
      </c>
      <c r="E108" s="502">
        <v>0</v>
      </c>
      <c r="F108" s="503">
        <v>0</v>
      </c>
      <c r="G108" s="508">
        <v>0.05</v>
      </c>
      <c r="H108" s="508">
        <v>4.34</v>
      </c>
      <c r="I108" s="400">
        <v>4.87</v>
      </c>
      <c r="J108" s="499">
        <v>0.125</v>
      </c>
      <c r="K108" s="1"/>
    </row>
    <row r="109" spans="1:11" ht="35.049999999999997" customHeight="1" x14ac:dyDescent="0.3">
      <c r="A109" s="398" t="s">
        <v>589</v>
      </c>
      <c r="B109" s="24"/>
      <c r="C109" s="406" t="s">
        <v>616</v>
      </c>
      <c r="D109" s="504">
        <v>13.263999999999999</v>
      </c>
      <c r="E109" s="505">
        <v>0.65700000000000003</v>
      </c>
      <c r="F109" s="503">
        <v>4.8000000000000001E-2</v>
      </c>
      <c r="G109" s="509"/>
      <c r="H109" s="509"/>
      <c r="I109" s="399"/>
      <c r="J109" s="500"/>
      <c r="K109" s="1"/>
    </row>
    <row r="110" spans="1:11" ht="35.049999999999997" customHeight="1" x14ac:dyDescent="0.3">
      <c r="A110" s="398" t="s">
        <v>696</v>
      </c>
      <c r="B110" s="24"/>
      <c r="C110" s="406">
        <v>0</v>
      </c>
      <c r="D110" s="501">
        <v>-2.9990000000000001</v>
      </c>
      <c r="E110" s="502">
        <v>-0.41699999999999998</v>
      </c>
      <c r="F110" s="503">
        <v>-0.06</v>
      </c>
      <c r="G110" s="508">
        <v>0</v>
      </c>
      <c r="H110" s="509"/>
      <c r="I110" s="399"/>
      <c r="J110" s="500"/>
      <c r="K110" s="1"/>
    </row>
    <row r="111" spans="1:11" ht="35.049999999999997" customHeight="1" x14ac:dyDescent="0.3">
      <c r="A111" s="398" t="s">
        <v>697</v>
      </c>
      <c r="B111" s="402"/>
      <c r="C111" s="406">
        <v>0</v>
      </c>
      <c r="D111" s="501">
        <v>-2.903</v>
      </c>
      <c r="E111" s="502">
        <v>-0.40600000000000003</v>
      </c>
      <c r="F111" s="503">
        <v>-5.3999999999999999E-2</v>
      </c>
      <c r="G111" s="508">
        <v>0</v>
      </c>
      <c r="H111" s="509"/>
      <c r="I111" s="399"/>
      <c r="J111" s="500"/>
      <c r="K111" s="1"/>
    </row>
    <row r="112" spans="1:11" ht="35.049999999999997" customHeight="1" x14ac:dyDescent="0.3">
      <c r="A112" s="398" t="s">
        <v>698</v>
      </c>
      <c r="B112" s="24"/>
      <c r="C112" s="406">
        <v>0</v>
      </c>
      <c r="D112" s="501">
        <v>-2.9990000000000001</v>
      </c>
      <c r="E112" s="502">
        <v>-0.41699999999999998</v>
      </c>
      <c r="F112" s="503">
        <v>-0.06</v>
      </c>
      <c r="G112" s="508">
        <v>0</v>
      </c>
      <c r="H112" s="509"/>
      <c r="I112" s="399"/>
      <c r="J112" s="499">
        <v>0.20499999999999999</v>
      </c>
      <c r="K112" s="1"/>
    </row>
    <row r="113" spans="1:11" ht="35.049999999999997" customHeight="1" x14ac:dyDescent="0.3">
      <c r="A113" s="398" t="s">
        <v>699</v>
      </c>
      <c r="B113" s="24"/>
      <c r="C113" s="406">
        <v>0</v>
      </c>
      <c r="D113" s="501">
        <v>-2.903</v>
      </c>
      <c r="E113" s="502">
        <v>-0.40600000000000003</v>
      </c>
      <c r="F113" s="503">
        <v>-5.3999999999999999E-2</v>
      </c>
      <c r="G113" s="508">
        <v>0</v>
      </c>
      <c r="H113" s="509"/>
      <c r="I113" s="399"/>
      <c r="J113" s="499">
        <v>0.19900000000000001</v>
      </c>
      <c r="K113" s="1"/>
    </row>
    <row r="114" spans="1:11" ht="35.049999999999997" customHeight="1" x14ac:dyDescent="0.3">
      <c r="A114" s="398" t="s">
        <v>700</v>
      </c>
      <c r="B114" s="24"/>
      <c r="C114" s="406">
        <v>0</v>
      </c>
      <c r="D114" s="501">
        <v>-2.5</v>
      </c>
      <c r="E114" s="502">
        <v>-0.35899999999999999</v>
      </c>
      <c r="F114" s="503">
        <v>-2.7E-2</v>
      </c>
      <c r="G114" s="508">
        <v>5.7</v>
      </c>
      <c r="H114" s="509"/>
      <c r="I114" s="399"/>
      <c r="J114" s="499">
        <v>0.22500000000000001</v>
      </c>
      <c r="K114" s="1"/>
    </row>
    <row r="115" spans="1:11" ht="35.049999999999997" customHeight="1" x14ac:dyDescent="0.3">
      <c r="A115" s="398" t="s">
        <v>864</v>
      </c>
      <c r="B115" s="24"/>
      <c r="C115" s="406" t="s">
        <v>639</v>
      </c>
      <c r="D115" s="501">
        <v>2.3620000000000001</v>
      </c>
      <c r="E115" s="502">
        <v>0.24399999999999999</v>
      </c>
      <c r="F115" s="503">
        <v>0</v>
      </c>
      <c r="G115" s="508">
        <v>0.16</v>
      </c>
      <c r="H115" s="509"/>
      <c r="I115" s="399"/>
      <c r="J115" s="500"/>
      <c r="K115" s="1"/>
    </row>
    <row r="116" spans="1:11" ht="35.049999999999997" customHeight="1" x14ac:dyDescent="0.3">
      <c r="A116" s="398" t="s">
        <v>865</v>
      </c>
      <c r="B116" s="24"/>
      <c r="C116" s="406" t="s">
        <v>575</v>
      </c>
      <c r="D116" s="501">
        <v>2.4590000000000001</v>
      </c>
      <c r="E116" s="502">
        <v>0.34200000000000003</v>
      </c>
      <c r="F116" s="503">
        <v>4.9000000000000002E-2</v>
      </c>
      <c r="G116" s="509"/>
      <c r="H116" s="509"/>
      <c r="I116" s="399"/>
      <c r="J116" s="500"/>
      <c r="K116" s="1"/>
    </row>
    <row r="117" spans="1:11" ht="35.049999999999997" customHeight="1" x14ac:dyDescent="0.3">
      <c r="A117" s="398" t="s">
        <v>866</v>
      </c>
      <c r="B117" s="24"/>
      <c r="C117" s="406" t="s">
        <v>640</v>
      </c>
      <c r="D117" s="501">
        <v>1.4550000000000001</v>
      </c>
      <c r="E117" s="502">
        <v>0.20200000000000001</v>
      </c>
      <c r="F117" s="503">
        <v>2.9000000000000001E-2</v>
      </c>
      <c r="G117" s="508">
        <v>0.95</v>
      </c>
      <c r="H117" s="509"/>
      <c r="I117" s="399"/>
      <c r="J117" s="500"/>
      <c r="K117" s="1"/>
    </row>
    <row r="118" spans="1:11" ht="35.049999999999997" customHeight="1" x14ac:dyDescent="0.3">
      <c r="A118" s="398" t="s">
        <v>867</v>
      </c>
      <c r="B118" s="24"/>
      <c r="C118" s="406" t="s">
        <v>640</v>
      </c>
      <c r="D118" s="501">
        <v>1.4550000000000001</v>
      </c>
      <c r="E118" s="502">
        <v>0.20200000000000001</v>
      </c>
      <c r="F118" s="503">
        <v>2.9000000000000001E-2</v>
      </c>
      <c r="G118" s="508">
        <v>0.35</v>
      </c>
      <c r="H118" s="509"/>
      <c r="I118" s="399"/>
      <c r="J118" s="500"/>
      <c r="K118" s="1"/>
    </row>
    <row r="119" spans="1:11" ht="35.049999999999997" customHeight="1" x14ac:dyDescent="0.3">
      <c r="A119" s="398" t="s">
        <v>868</v>
      </c>
      <c r="B119" s="24"/>
      <c r="C119" s="406" t="s">
        <v>640</v>
      </c>
      <c r="D119" s="501">
        <v>1.2430000000000001</v>
      </c>
      <c r="E119" s="502">
        <v>0</v>
      </c>
      <c r="F119" s="503">
        <v>0</v>
      </c>
      <c r="G119" s="508">
        <v>0.09</v>
      </c>
      <c r="H119" s="509"/>
      <c r="I119" s="399"/>
      <c r="J119" s="500"/>
      <c r="K119" s="1"/>
    </row>
    <row r="120" spans="1:11" ht="35.049999999999997" customHeight="1" x14ac:dyDescent="0.3">
      <c r="A120" s="398" t="s">
        <v>869</v>
      </c>
      <c r="B120" s="24"/>
      <c r="C120" s="406" t="s">
        <v>640</v>
      </c>
      <c r="D120" s="501">
        <v>1.1539999999999999</v>
      </c>
      <c r="E120" s="502">
        <v>0</v>
      </c>
      <c r="F120" s="503">
        <v>0</v>
      </c>
      <c r="G120" s="508">
        <v>0.09</v>
      </c>
      <c r="H120" s="509"/>
      <c r="I120" s="399"/>
      <c r="J120" s="500"/>
      <c r="K120" s="1"/>
    </row>
    <row r="121" spans="1:11" ht="35.049999999999997" customHeight="1" x14ac:dyDescent="0.3">
      <c r="A121" s="398" t="s">
        <v>870</v>
      </c>
      <c r="B121" s="24"/>
      <c r="C121" s="406" t="s">
        <v>640</v>
      </c>
      <c r="D121" s="501">
        <v>1.1100000000000001</v>
      </c>
      <c r="E121" s="502">
        <v>0</v>
      </c>
      <c r="F121" s="503">
        <v>0</v>
      </c>
      <c r="G121" s="508">
        <v>0.09</v>
      </c>
      <c r="H121" s="509"/>
      <c r="I121" s="399"/>
      <c r="J121" s="500"/>
      <c r="K121" s="1"/>
    </row>
    <row r="122" spans="1:11" ht="35.049999999999997" customHeight="1" x14ac:dyDescent="0.3">
      <c r="A122" s="398" t="s">
        <v>590</v>
      </c>
      <c r="B122" s="24"/>
      <c r="C122" s="406" t="s">
        <v>577</v>
      </c>
      <c r="D122" s="501">
        <v>1.4550000000000001</v>
      </c>
      <c r="E122" s="502">
        <v>0.20200000000000001</v>
      </c>
      <c r="F122" s="503">
        <v>2.9000000000000001E-2</v>
      </c>
      <c r="G122" s="509"/>
      <c r="H122" s="509"/>
      <c r="I122" s="399"/>
      <c r="J122" s="500"/>
      <c r="K122" s="1"/>
    </row>
    <row r="123" spans="1:11" ht="35.049999999999997" customHeight="1" x14ac:dyDescent="0.3">
      <c r="A123" s="398" t="s">
        <v>871</v>
      </c>
      <c r="B123" s="24"/>
      <c r="C123" s="406">
        <v>0</v>
      </c>
      <c r="D123" s="501">
        <v>1.325</v>
      </c>
      <c r="E123" s="502">
        <v>0.186</v>
      </c>
      <c r="F123" s="503">
        <v>2.3E-2</v>
      </c>
      <c r="G123" s="508">
        <v>2.4900000000000002</v>
      </c>
      <c r="H123" s="508">
        <v>1.03</v>
      </c>
      <c r="I123" s="400">
        <v>1.6</v>
      </c>
      <c r="J123" s="499">
        <v>0.111</v>
      </c>
      <c r="K123" s="1"/>
    </row>
    <row r="124" spans="1:11" ht="35.049999999999997" customHeight="1" x14ac:dyDescent="0.3">
      <c r="A124" s="398" t="s">
        <v>872</v>
      </c>
      <c r="B124" s="24"/>
      <c r="C124" s="406">
        <v>0</v>
      </c>
      <c r="D124" s="501">
        <v>0.81499999999999995</v>
      </c>
      <c r="E124" s="502">
        <v>4.8000000000000001E-2</v>
      </c>
      <c r="F124" s="503">
        <v>1.2999999999999999E-2</v>
      </c>
      <c r="G124" s="508">
        <v>0.62</v>
      </c>
      <c r="H124" s="508">
        <v>1.03</v>
      </c>
      <c r="I124" s="400">
        <v>1.6</v>
      </c>
      <c r="J124" s="499">
        <v>0.111</v>
      </c>
      <c r="K124" s="1"/>
    </row>
    <row r="125" spans="1:11" ht="35.049999999999997" customHeight="1" x14ac:dyDescent="0.3">
      <c r="A125" s="398" t="s">
        <v>873</v>
      </c>
      <c r="B125" s="24"/>
      <c r="C125" s="406">
        <v>0</v>
      </c>
      <c r="D125" s="501">
        <v>0.80600000000000005</v>
      </c>
      <c r="E125" s="502">
        <v>4.8000000000000001E-2</v>
      </c>
      <c r="F125" s="503">
        <v>1.2999999999999999E-2</v>
      </c>
      <c r="G125" s="508">
        <v>0.62</v>
      </c>
      <c r="H125" s="508">
        <v>1.03</v>
      </c>
      <c r="I125" s="400">
        <v>1.6</v>
      </c>
      <c r="J125" s="499">
        <v>0.111</v>
      </c>
      <c r="K125" s="1"/>
    </row>
    <row r="126" spans="1:11" ht="35.049999999999997" customHeight="1" x14ac:dyDescent="0.3">
      <c r="A126" s="398" t="s">
        <v>874</v>
      </c>
      <c r="B126" s="24"/>
      <c r="C126" s="406">
        <v>0</v>
      </c>
      <c r="D126" s="501">
        <v>0.79800000000000004</v>
      </c>
      <c r="E126" s="502">
        <v>4.8000000000000001E-2</v>
      </c>
      <c r="F126" s="503">
        <v>1.2999999999999999E-2</v>
      </c>
      <c r="G126" s="508">
        <v>0.62</v>
      </c>
      <c r="H126" s="508">
        <v>1.03</v>
      </c>
      <c r="I126" s="400">
        <v>1.6</v>
      </c>
      <c r="J126" s="499">
        <v>0.111</v>
      </c>
      <c r="K126" s="1"/>
    </row>
    <row r="127" spans="1:11" ht="35.049999999999997" customHeight="1" x14ac:dyDescent="0.3">
      <c r="A127" s="398" t="s">
        <v>875</v>
      </c>
      <c r="B127" s="24"/>
      <c r="C127" s="406">
        <v>0</v>
      </c>
      <c r="D127" s="501">
        <v>0.79200000000000004</v>
      </c>
      <c r="E127" s="502">
        <v>4.8000000000000001E-2</v>
      </c>
      <c r="F127" s="503">
        <v>1.2999999999999999E-2</v>
      </c>
      <c r="G127" s="508">
        <v>0.62</v>
      </c>
      <c r="H127" s="508">
        <v>1.03</v>
      </c>
      <c r="I127" s="400">
        <v>1.6</v>
      </c>
      <c r="J127" s="499">
        <v>0.111</v>
      </c>
      <c r="K127" s="1"/>
    </row>
    <row r="128" spans="1:11" ht="35.049999999999997" customHeight="1" x14ac:dyDescent="0.3">
      <c r="A128" s="398" t="s">
        <v>876</v>
      </c>
      <c r="B128" s="24"/>
      <c r="C128" s="406">
        <v>0</v>
      </c>
      <c r="D128" s="501">
        <v>1.32</v>
      </c>
      <c r="E128" s="502">
        <v>0.19</v>
      </c>
      <c r="F128" s="503">
        <v>1.4E-2</v>
      </c>
      <c r="G128" s="508">
        <v>2.66</v>
      </c>
      <c r="H128" s="508">
        <v>2.42</v>
      </c>
      <c r="I128" s="400">
        <v>2.75</v>
      </c>
      <c r="J128" s="499">
        <v>9.1999999999999998E-2</v>
      </c>
      <c r="K128" s="1"/>
    </row>
    <row r="129" spans="1:11" ht="35.049999999999997" customHeight="1" x14ac:dyDescent="0.3">
      <c r="A129" s="398" t="s">
        <v>877</v>
      </c>
      <c r="B129" s="24"/>
      <c r="C129" s="406">
        <v>0</v>
      </c>
      <c r="D129" s="501">
        <v>0.61699999999999999</v>
      </c>
      <c r="E129" s="502">
        <v>0</v>
      </c>
      <c r="F129" s="503">
        <v>0</v>
      </c>
      <c r="G129" s="508">
        <v>0.08</v>
      </c>
      <c r="H129" s="508">
        <v>2.42</v>
      </c>
      <c r="I129" s="400">
        <v>2.75</v>
      </c>
      <c r="J129" s="499">
        <v>9.1999999999999998E-2</v>
      </c>
      <c r="K129" s="1"/>
    </row>
    <row r="130" spans="1:11" ht="35.049999999999997" customHeight="1" x14ac:dyDescent="0.3">
      <c r="A130" s="398" t="s">
        <v>878</v>
      </c>
      <c r="B130" s="24"/>
      <c r="C130" s="406">
        <v>0</v>
      </c>
      <c r="D130" s="501">
        <v>0.60499999999999998</v>
      </c>
      <c r="E130" s="502">
        <v>0</v>
      </c>
      <c r="F130" s="503">
        <v>0</v>
      </c>
      <c r="G130" s="508">
        <v>0.08</v>
      </c>
      <c r="H130" s="508">
        <v>2.42</v>
      </c>
      <c r="I130" s="400">
        <v>2.75</v>
      </c>
      <c r="J130" s="499">
        <v>9.1999999999999998E-2</v>
      </c>
      <c r="K130" s="1"/>
    </row>
    <row r="131" spans="1:11" ht="35.049999999999997" customHeight="1" x14ac:dyDescent="0.3">
      <c r="A131" s="398" t="s">
        <v>879</v>
      </c>
      <c r="B131" s="24"/>
      <c r="C131" s="406">
        <v>0</v>
      </c>
      <c r="D131" s="501">
        <v>0.59399999999999997</v>
      </c>
      <c r="E131" s="502">
        <v>0</v>
      </c>
      <c r="F131" s="503">
        <v>0</v>
      </c>
      <c r="G131" s="508">
        <v>0.08</v>
      </c>
      <c r="H131" s="508">
        <v>2.42</v>
      </c>
      <c r="I131" s="400">
        <v>2.75</v>
      </c>
      <c r="J131" s="499">
        <v>9.1999999999999998E-2</v>
      </c>
      <c r="K131" s="1"/>
    </row>
    <row r="132" spans="1:11" ht="35.049999999999997" customHeight="1" x14ac:dyDescent="0.3">
      <c r="A132" s="398" t="s">
        <v>880</v>
      </c>
      <c r="B132" s="24"/>
      <c r="C132" s="406">
        <v>0</v>
      </c>
      <c r="D132" s="501">
        <v>0.58499999999999996</v>
      </c>
      <c r="E132" s="502">
        <v>0</v>
      </c>
      <c r="F132" s="503">
        <v>0</v>
      </c>
      <c r="G132" s="508">
        <v>0.08</v>
      </c>
      <c r="H132" s="508">
        <v>2.42</v>
      </c>
      <c r="I132" s="400">
        <v>2.75</v>
      </c>
      <c r="J132" s="499">
        <v>9.1999999999999998E-2</v>
      </c>
      <c r="K132" s="1"/>
    </row>
    <row r="133" spans="1:11" ht="35.049999999999997" customHeight="1" x14ac:dyDescent="0.3">
      <c r="A133" s="398" t="s">
        <v>881</v>
      </c>
      <c r="B133" s="24"/>
      <c r="C133" s="406">
        <v>0</v>
      </c>
      <c r="D133" s="501">
        <v>0.99099999999999999</v>
      </c>
      <c r="E133" s="502">
        <v>0.13900000000000001</v>
      </c>
      <c r="F133" s="503">
        <v>0.01</v>
      </c>
      <c r="G133" s="508">
        <v>35.82</v>
      </c>
      <c r="H133" s="508">
        <v>2.76</v>
      </c>
      <c r="I133" s="400">
        <v>3.09</v>
      </c>
      <c r="J133" s="499">
        <v>7.9000000000000001E-2</v>
      </c>
      <c r="K133" s="1"/>
    </row>
    <row r="134" spans="1:11" ht="35.049999999999997" customHeight="1" x14ac:dyDescent="0.3">
      <c r="A134" s="398" t="s">
        <v>882</v>
      </c>
      <c r="B134" s="24"/>
      <c r="C134" s="406">
        <v>0</v>
      </c>
      <c r="D134" s="501">
        <v>0.108</v>
      </c>
      <c r="E134" s="502">
        <v>0</v>
      </c>
      <c r="F134" s="503">
        <v>0</v>
      </c>
      <c r="G134" s="508">
        <v>0.08</v>
      </c>
      <c r="H134" s="508">
        <v>2.76</v>
      </c>
      <c r="I134" s="400">
        <v>3.09</v>
      </c>
      <c r="J134" s="499">
        <v>7.9000000000000001E-2</v>
      </c>
      <c r="K134" s="1"/>
    </row>
    <row r="135" spans="1:11" ht="35.049999999999997" customHeight="1" x14ac:dyDescent="0.3">
      <c r="A135" s="398" t="s">
        <v>883</v>
      </c>
      <c r="B135" s="24"/>
      <c r="C135" s="406">
        <v>0</v>
      </c>
      <c r="D135" s="501">
        <v>0.05</v>
      </c>
      <c r="E135" s="502">
        <v>0</v>
      </c>
      <c r="F135" s="503">
        <v>0</v>
      </c>
      <c r="G135" s="508">
        <v>0.08</v>
      </c>
      <c r="H135" s="508">
        <v>2.76</v>
      </c>
      <c r="I135" s="400">
        <v>3.09</v>
      </c>
      <c r="J135" s="499">
        <v>7.9000000000000001E-2</v>
      </c>
      <c r="K135" s="1"/>
    </row>
    <row r="136" spans="1:11" ht="35.049999999999997" customHeight="1" x14ac:dyDescent="0.3">
      <c r="A136" s="398" t="s">
        <v>884</v>
      </c>
      <c r="B136" s="24"/>
      <c r="C136" s="406">
        <v>0</v>
      </c>
      <c r="D136" s="501">
        <v>3.5000000000000003E-2</v>
      </c>
      <c r="E136" s="502">
        <v>0</v>
      </c>
      <c r="F136" s="503">
        <v>0</v>
      </c>
      <c r="G136" s="508">
        <v>0.08</v>
      </c>
      <c r="H136" s="508">
        <v>2.76</v>
      </c>
      <c r="I136" s="400">
        <v>3.09</v>
      </c>
      <c r="J136" s="499">
        <v>7.9000000000000001E-2</v>
      </c>
      <c r="K136" s="1"/>
    </row>
    <row r="137" spans="1:11" ht="35.049999999999997" customHeight="1" x14ac:dyDescent="0.3">
      <c r="A137" s="398" t="s">
        <v>885</v>
      </c>
      <c r="B137" s="24"/>
      <c r="C137" s="406">
        <v>0</v>
      </c>
      <c r="D137" s="501">
        <v>2.1000000000000001E-2</v>
      </c>
      <c r="E137" s="502">
        <v>0</v>
      </c>
      <c r="F137" s="503">
        <v>0</v>
      </c>
      <c r="G137" s="508">
        <v>0.08</v>
      </c>
      <c r="H137" s="508">
        <v>2.76</v>
      </c>
      <c r="I137" s="400">
        <v>3.09</v>
      </c>
      <c r="J137" s="499">
        <v>7.9000000000000001E-2</v>
      </c>
      <c r="K137" s="1"/>
    </row>
    <row r="138" spans="1:11" ht="35.049999999999997" customHeight="1" x14ac:dyDescent="0.3">
      <c r="A138" s="398" t="s">
        <v>591</v>
      </c>
      <c r="B138" s="24"/>
      <c r="C138" s="406" t="s">
        <v>616</v>
      </c>
      <c r="D138" s="504">
        <v>8.42</v>
      </c>
      <c r="E138" s="505">
        <v>0.41699999999999998</v>
      </c>
      <c r="F138" s="503">
        <v>3.1E-2</v>
      </c>
      <c r="G138" s="509"/>
      <c r="H138" s="509"/>
      <c r="I138" s="399"/>
      <c r="J138" s="500"/>
      <c r="K138" s="1"/>
    </row>
    <row r="139" spans="1:11" ht="35.049999999999997" customHeight="1" x14ac:dyDescent="0.3">
      <c r="A139" s="398" t="s">
        <v>701</v>
      </c>
      <c r="B139" s="24"/>
      <c r="C139" s="406">
        <v>0</v>
      </c>
      <c r="D139" s="501">
        <v>-1.9039999999999999</v>
      </c>
      <c r="E139" s="502">
        <v>-0.26500000000000001</v>
      </c>
      <c r="F139" s="503">
        <v>-3.7999999999999999E-2</v>
      </c>
      <c r="G139" s="508">
        <v>0</v>
      </c>
      <c r="H139" s="509"/>
      <c r="I139" s="399"/>
      <c r="J139" s="500"/>
      <c r="K139" s="1"/>
    </row>
    <row r="140" spans="1:11" ht="35.049999999999997" customHeight="1" x14ac:dyDescent="0.3">
      <c r="A140" s="398" t="s">
        <v>702</v>
      </c>
      <c r="B140" s="402"/>
      <c r="C140" s="406">
        <v>0</v>
      </c>
      <c r="D140" s="501">
        <v>-1.843</v>
      </c>
      <c r="E140" s="502">
        <v>-0.25700000000000001</v>
      </c>
      <c r="F140" s="503">
        <v>-3.4000000000000002E-2</v>
      </c>
      <c r="G140" s="508">
        <v>0</v>
      </c>
      <c r="H140" s="509"/>
      <c r="I140" s="399"/>
      <c r="J140" s="500"/>
      <c r="K140" s="1"/>
    </row>
    <row r="141" spans="1:11" ht="35.049999999999997" customHeight="1" x14ac:dyDescent="0.3">
      <c r="A141" s="398" t="s">
        <v>703</v>
      </c>
      <c r="B141" s="24"/>
      <c r="C141" s="406">
        <v>0</v>
      </c>
      <c r="D141" s="501">
        <v>-1.9039999999999999</v>
      </c>
      <c r="E141" s="502">
        <v>-0.26500000000000001</v>
      </c>
      <c r="F141" s="503">
        <v>-3.7999999999999999E-2</v>
      </c>
      <c r="G141" s="508">
        <v>0</v>
      </c>
      <c r="H141" s="509"/>
      <c r="I141" s="399"/>
      <c r="J141" s="499">
        <v>0.13</v>
      </c>
    </row>
    <row r="142" spans="1:11" ht="35.049999999999997" customHeight="1" x14ac:dyDescent="0.3">
      <c r="A142" s="398" t="s">
        <v>704</v>
      </c>
      <c r="B142" s="24"/>
      <c r="C142" s="406">
        <v>0</v>
      </c>
      <c r="D142" s="501">
        <v>-1.843</v>
      </c>
      <c r="E142" s="502">
        <v>-0.25700000000000001</v>
      </c>
      <c r="F142" s="503">
        <v>-3.4000000000000002E-2</v>
      </c>
      <c r="G142" s="508">
        <v>0</v>
      </c>
      <c r="H142" s="509"/>
      <c r="I142" s="399"/>
      <c r="J142" s="499">
        <v>0.126</v>
      </c>
    </row>
    <row r="143" spans="1:11" ht="35.049999999999997" customHeight="1" x14ac:dyDescent="0.3">
      <c r="A143" s="398" t="s">
        <v>705</v>
      </c>
      <c r="B143" s="24"/>
      <c r="C143" s="406">
        <v>0</v>
      </c>
      <c r="D143" s="501">
        <v>-1.587</v>
      </c>
      <c r="E143" s="502">
        <v>-0.22800000000000001</v>
      </c>
      <c r="F143" s="503">
        <v>-1.7000000000000001E-2</v>
      </c>
      <c r="G143" s="508">
        <v>3.62</v>
      </c>
      <c r="H143" s="509"/>
      <c r="I143" s="399"/>
      <c r="J143" s="499">
        <v>0.14299999999999999</v>
      </c>
    </row>
    <row r="144" spans="1:11" ht="35.049999999999997" customHeight="1" x14ac:dyDescent="0.3">
      <c r="A144" s="398" t="s">
        <v>886</v>
      </c>
      <c r="B144" s="24"/>
      <c r="C144" s="406" t="s">
        <v>639</v>
      </c>
      <c r="D144" s="501">
        <v>1.7050000000000001</v>
      </c>
      <c r="E144" s="502">
        <v>0.17599999999999999</v>
      </c>
      <c r="F144" s="503">
        <v>0</v>
      </c>
      <c r="G144" s="508">
        <v>0.18</v>
      </c>
      <c r="H144" s="509"/>
      <c r="I144" s="399"/>
      <c r="J144" s="500"/>
    </row>
    <row r="145" spans="1:10" ht="35.049999999999997" customHeight="1" x14ac:dyDescent="0.3">
      <c r="A145" s="398" t="s">
        <v>887</v>
      </c>
      <c r="B145" s="24"/>
      <c r="C145" s="406" t="s">
        <v>575</v>
      </c>
      <c r="D145" s="501">
        <v>1.776</v>
      </c>
      <c r="E145" s="502">
        <v>0.247</v>
      </c>
      <c r="F145" s="503">
        <v>3.5000000000000003E-2</v>
      </c>
      <c r="G145" s="509"/>
      <c r="H145" s="509"/>
      <c r="I145" s="399"/>
      <c r="J145" s="500"/>
    </row>
    <row r="146" spans="1:10" ht="35.049999999999997" customHeight="1" x14ac:dyDescent="0.3">
      <c r="A146" s="398" t="s">
        <v>888</v>
      </c>
      <c r="B146" s="24"/>
      <c r="C146" s="406" t="s">
        <v>640</v>
      </c>
      <c r="D146" s="501">
        <v>1.0509999999999999</v>
      </c>
      <c r="E146" s="502">
        <v>0.14599999999999999</v>
      </c>
      <c r="F146" s="503">
        <v>2.1000000000000001E-2</v>
      </c>
      <c r="G146" s="508">
        <v>0.72</v>
      </c>
      <c r="H146" s="509"/>
      <c r="I146" s="399"/>
      <c r="J146" s="500"/>
    </row>
    <row r="147" spans="1:10" ht="35.049999999999997" customHeight="1" x14ac:dyDescent="0.3">
      <c r="A147" s="398" t="s">
        <v>889</v>
      </c>
      <c r="B147" s="24"/>
      <c r="C147" s="406" t="s">
        <v>640</v>
      </c>
      <c r="D147" s="501">
        <v>1.0509999999999999</v>
      </c>
      <c r="E147" s="502">
        <v>0.14599999999999999</v>
      </c>
      <c r="F147" s="503">
        <v>2.1000000000000001E-2</v>
      </c>
      <c r="G147" s="508">
        <v>0.28999999999999998</v>
      </c>
      <c r="H147" s="509"/>
      <c r="I147" s="399"/>
      <c r="J147" s="500"/>
    </row>
    <row r="148" spans="1:10" ht="35.049999999999997" customHeight="1" x14ac:dyDescent="0.3">
      <c r="A148" s="398" t="s">
        <v>890</v>
      </c>
      <c r="B148" s="24"/>
      <c r="C148" s="406" t="s">
        <v>640</v>
      </c>
      <c r="D148" s="501">
        <v>0.89700000000000002</v>
      </c>
      <c r="E148" s="502">
        <v>0</v>
      </c>
      <c r="F148" s="503">
        <v>0</v>
      </c>
      <c r="G148" s="508">
        <v>0.1</v>
      </c>
      <c r="H148" s="509"/>
      <c r="I148" s="399"/>
      <c r="J148" s="500"/>
    </row>
    <row r="149" spans="1:10" ht="35.049999999999997" customHeight="1" x14ac:dyDescent="0.3">
      <c r="A149" s="398" t="s">
        <v>891</v>
      </c>
      <c r="B149" s="24"/>
      <c r="C149" s="406" t="s">
        <v>640</v>
      </c>
      <c r="D149" s="501">
        <v>0.83299999999999996</v>
      </c>
      <c r="E149" s="502">
        <v>0</v>
      </c>
      <c r="F149" s="503">
        <v>0</v>
      </c>
      <c r="G149" s="508">
        <v>0.1</v>
      </c>
      <c r="H149" s="509"/>
      <c r="I149" s="399"/>
      <c r="J149" s="500"/>
    </row>
    <row r="150" spans="1:10" ht="35.049999999999997" customHeight="1" x14ac:dyDescent="0.3">
      <c r="A150" s="398" t="s">
        <v>892</v>
      </c>
      <c r="B150" s="24"/>
      <c r="C150" s="406" t="s">
        <v>640</v>
      </c>
      <c r="D150" s="501">
        <v>0.80100000000000005</v>
      </c>
      <c r="E150" s="502">
        <v>0</v>
      </c>
      <c r="F150" s="503">
        <v>0</v>
      </c>
      <c r="G150" s="508">
        <v>0.1</v>
      </c>
      <c r="H150" s="509"/>
      <c r="I150" s="399"/>
      <c r="J150" s="500"/>
    </row>
    <row r="151" spans="1:10" ht="35.049999999999997" customHeight="1" x14ac:dyDescent="0.3">
      <c r="A151" s="398" t="s">
        <v>592</v>
      </c>
      <c r="B151" s="24"/>
      <c r="C151" s="406" t="s">
        <v>577</v>
      </c>
      <c r="D151" s="501">
        <v>1.0509999999999999</v>
      </c>
      <c r="E151" s="502">
        <v>0.14599999999999999</v>
      </c>
      <c r="F151" s="503">
        <v>2.1000000000000001E-2</v>
      </c>
      <c r="G151" s="509"/>
      <c r="H151" s="509"/>
      <c r="I151" s="399"/>
      <c r="J151" s="500"/>
    </row>
    <row r="152" spans="1:10" ht="35.049999999999997" customHeight="1" x14ac:dyDescent="0.3">
      <c r="A152" s="398" t="s">
        <v>893</v>
      </c>
      <c r="B152" s="24"/>
      <c r="C152" s="406">
        <v>0</v>
      </c>
      <c r="D152" s="501">
        <v>0.95699999999999996</v>
      </c>
      <c r="E152" s="502">
        <v>0.13400000000000001</v>
      </c>
      <c r="F152" s="503">
        <v>1.7000000000000001E-2</v>
      </c>
      <c r="G152" s="508">
        <v>1.83</v>
      </c>
      <c r="H152" s="508">
        <v>0.74</v>
      </c>
      <c r="I152" s="400">
        <v>1.1499999999999999</v>
      </c>
      <c r="J152" s="499">
        <v>0.08</v>
      </c>
    </row>
    <row r="153" spans="1:10" ht="35.049999999999997" customHeight="1" x14ac:dyDescent="0.3">
      <c r="A153" s="398" t="s">
        <v>894</v>
      </c>
      <c r="B153" s="24"/>
      <c r="C153" s="406">
        <v>0</v>
      </c>
      <c r="D153" s="501">
        <v>0.58899999999999997</v>
      </c>
      <c r="E153" s="502">
        <v>3.5000000000000003E-2</v>
      </c>
      <c r="F153" s="503">
        <v>8.9999999999999993E-3</v>
      </c>
      <c r="G153" s="508">
        <v>0.48</v>
      </c>
      <c r="H153" s="508">
        <v>0.74</v>
      </c>
      <c r="I153" s="400">
        <v>1.1499999999999999</v>
      </c>
      <c r="J153" s="499">
        <v>0.08</v>
      </c>
    </row>
    <row r="154" spans="1:10" ht="35.049999999999997" customHeight="1" x14ac:dyDescent="0.3">
      <c r="A154" s="398" t="s">
        <v>895</v>
      </c>
      <c r="B154" s="24"/>
      <c r="C154" s="406">
        <v>0</v>
      </c>
      <c r="D154" s="501">
        <v>0.58199999999999996</v>
      </c>
      <c r="E154" s="502">
        <v>3.5000000000000003E-2</v>
      </c>
      <c r="F154" s="503">
        <v>8.9999999999999993E-3</v>
      </c>
      <c r="G154" s="508">
        <v>0.48</v>
      </c>
      <c r="H154" s="508">
        <v>0.74</v>
      </c>
      <c r="I154" s="400">
        <v>1.1499999999999999</v>
      </c>
      <c r="J154" s="499">
        <v>0.08</v>
      </c>
    </row>
    <row r="155" spans="1:10" ht="35.049999999999997" customHeight="1" x14ac:dyDescent="0.3">
      <c r="A155" s="398" t="s">
        <v>896</v>
      </c>
      <c r="B155" s="24"/>
      <c r="C155" s="406">
        <v>0</v>
      </c>
      <c r="D155" s="501">
        <v>0.57599999999999996</v>
      </c>
      <c r="E155" s="502">
        <v>3.5000000000000003E-2</v>
      </c>
      <c r="F155" s="503">
        <v>8.9999999999999993E-3</v>
      </c>
      <c r="G155" s="508">
        <v>0.48</v>
      </c>
      <c r="H155" s="508">
        <v>0.74</v>
      </c>
      <c r="I155" s="400">
        <v>1.1499999999999999</v>
      </c>
      <c r="J155" s="499">
        <v>0.08</v>
      </c>
    </row>
    <row r="156" spans="1:10" ht="35.049999999999997" customHeight="1" x14ac:dyDescent="0.3">
      <c r="A156" s="398" t="s">
        <v>897</v>
      </c>
      <c r="B156" s="24"/>
      <c r="C156" s="406">
        <v>0</v>
      </c>
      <c r="D156" s="501">
        <v>0.57199999999999995</v>
      </c>
      <c r="E156" s="502">
        <v>3.5000000000000003E-2</v>
      </c>
      <c r="F156" s="503">
        <v>8.9999999999999993E-3</v>
      </c>
      <c r="G156" s="508">
        <v>0.48</v>
      </c>
      <c r="H156" s="508">
        <v>0.74</v>
      </c>
      <c r="I156" s="400">
        <v>1.1499999999999999</v>
      </c>
      <c r="J156" s="499">
        <v>0.08</v>
      </c>
    </row>
    <row r="157" spans="1:10" ht="35.049999999999997" customHeight="1" x14ac:dyDescent="0.3">
      <c r="A157" s="398" t="s">
        <v>898</v>
      </c>
      <c r="B157" s="24"/>
      <c r="C157" s="406">
        <v>0</v>
      </c>
      <c r="D157" s="501">
        <v>0.95299999999999996</v>
      </c>
      <c r="E157" s="502">
        <v>0.13700000000000001</v>
      </c>
      <c r="F157" s="503">
        <v>0.01</v>
      </c>
      <c r="G157" s="508">
        <v>1.95</v>
      </c>
      <c r="H157" s="508">
        <v>1.75</v>
      </c>
      <c r="I157" s="400">
        <v>1.99</v>
      </c>
      <c r="J157" s="499">
        <v>6.6000000000000003E-2</v>
      </c>
    </row>
    <row r="158" spans="1:10" ht="35.049999999999997" customHeight="1" x14ac:dyDescent="0.3">
      <c r="A158" s="398" t="s">
        <v>899</v>
      </c>
      <c r="B158" s="24"/>
      <c r="C158" s="406">
        <v>0</v>
      </c>
      <c r="D158" s="501">
        <v>0.44600000000000001</v>
      </c>
      <c r="E158" s="502">
        <v>0</v>
      </c>
      <c r="F158" s="503">
        <v>0</v>
      </c>
      <c r="G158" s="508">
        <v>0.09</v>
      </c>
      <c r="H158" s="508">
        <v>1.75</v>
      </c>
      <c r="I158" s="400">
        <v>1.99</v>
      </c>
      <c r="J158" s="499">
        <v>6.6000000000000003E-2</v>
      </c>
    </row>
    <row r="159" spans="1:10" ht="35.049999999999997" customHeight="1" x14ac:dyDescent="0.3">
      <c r="A159" s="398" t="s">
        <v>900</v>
      </c>
      <c r="B159" s="24"/>
      <c r="C159" s="406">
        <v>0</v>
      </c>
      <c r="D159" s="501">
        <v>0.437</v>
      </c>
      <c r="E159" s="502">
        <v>0</v>
      </c>
      <c r="F159" s="503">
        <v>0</v>
      </c>
      <c r="G159" s="508">
        <v>0.09</v>
      </c>
      <c r="H159" s="508">
        <v>1.75</v>
      </c>
      <c r="I159" s="400">
        <v>1.99</v>
      </c>
      <c r="J159" s="499">
        <v>6.6000000000000003E-2</v>
      </c>
    </row>
    <row r="160" spans="1:10" ht="35.049999999999997" customHeight="1" x14ac:dyDescent="0.3">
      <c r="A160" s="398" t="s">
        <v>901</v>
      </c>
      <c r="B160" s="24"/>
      <c r="C160" s="406">
        <v>0</v>
      </c>
      <c r="D160" s="501">
        <v>0.42899999999999999</v>
      </c>
      <c r="E160" s="502">
        <v>0</v>
      </c>
      <c r="F160" s="503">
        <v>0</v>
      </c>
      <c r="G160" s="508">
        <v>0.09</v>
      </c>
      <c r="H160" s="508">
        <v>1.75</v>
      </c>
      <c r="I160" s="400">
        <v>1.99</v>
      </c>
      <c r="J160" s="499">
        <v>6.6000000000000003E-2</v>
      </c>
    </row>
    <row r="161" spans="1:10" ht="35.049999999999997" customHeight="1" x14ac:dyDescent="0.3">
      <c r="A161" s="398" t="s">
        <v>902</v>
      </c>
      <c r="B161" s="24"/>
      <c r="C161" s="406">
        <v>0</v>
      </c>
      <c r="D161" s="501">
        <v>0.42199999999999999</v>
      </c>
      <c r="E161" s="502">
        <v>0</v>
      </c>
      <c r="F161" s="503">
        <v>0</v>
      </c>
      <c r="G161" s="508">
        <v>0.09</v>
      </c>
      <c r="H161" s="508">
        <v>1.75</v>
      </c>
      <c r="I161" s="400">
        <v>1.99</v>
      </c>
      <c r="J161" s="499">
        <v>6.6000000000000003E-2</v>
      </c>
    </row>
    <row r="162" spans="1:10" ht="35.049999999999997" customHeight="1" x14ac:dyDescent="0.3">
      <c r="A162" s="398" t="s">
        <v>903</v>
      </c>
      <c r="B162" s="24"/>
      <c r="C162" s="406">
        <v>0</v>
      </c>
      <c r="D162" s="501">
        <v>0.71499999999999997</v>
      </c>
      <c r="E162" s="502">
        <v>0.1</v>
      </c>
      <c r="F162" s="503">
        <v>7.0000000000000001E-3</v>
      </c>
      <c r="G162" s="508">
        <v>25.9</v>
      </c>
      <c r="H162" s="508">
        <v>1.99</v>
      </c>
      <c r="I162" s="400">
        <v>2.23</v>
      </c>
      <c r="J162" s="499">
        <v>5.7000000000000002E-2</v>
      </c>
    </row>
    <row r="163" spans="1:10" ht="35.049999999999997" customHeight="1" x14ac:dyDescent="0.3">
      <c r="A163" s="398" t="s">
        <v>904</v>
      </c>
      <c r="B163" s="24"/>
      <c r="C163" s="406">
        <v>0</v>
      </c>
      <c r="D163" s="501">
        <v>7.8E-2</v>
      </c>
      <c r="E163" s="502">
        <v>0</v>
      </c>
      <c r="F163" s="503">
        <v>0</v>
      </c>
      <c r="G163" s="508">
        <v>0.09</v>
      </c>
      <c r="H163" s="508">
        <v>1.99</v>
      </c>
      <c r="I163" s="400">
        <v>2.23</v>
      </c>
      <c r="J163" s="499">
        <v>5.7000000000000002E-2</v>
      </c>
    </row>
    <row r="164" spans="1:10" ht="35.049999999999997" customHeight="1" x14ac:dyDescent="0.3">
      <c r="A164" s="398" t="s">
        <v>905</v>
      </c>
      <c r="B164" s="24"/>
      <c r="C164" s="406">
        <v>0</v>
      </c>
      <c r="D164" s="501">
        <v>3.5999999999999997E-2</v>
      </c>
      <c r="E164" s="502">
        <v>0</v>
      </c>
      <c r="F164" s="503">
        <v>0</v>
      </c>
      <c r="G164" s="508">
        <v>0.09</v>
      </c>
      <c r="H164" s="508">
        <v>1.99</v>
      </c>
      <c r="I164" s="400">
        <v>2.23</v>
      </c>
      <c r="J164" s="499">
        <v>5.7000000000000002E-2</v>
      </c>
    </row>
    <row r="165" spans="1:10" ht="35.049999999999997" customHeight="1" x14ac:dyDescent="0.3">
      <c r="A165" s="398" t="s">
        <v>906</v>
      </c>
      <c r="B165" s="24"/>
      <c r="C165" s="406">
        <v>0</v>
      </c>
      <c r="D165" s="501">
        <v>2.5999999999999999E-2</v>
      </c>
      <c r="E165" s="502">
        <v>0</v>
      </c>
      <c r="F165" s="503">
        <v>0</v>
      </c>
      <c r="G165" s="508">
        <v>0.09</v>
      </c>
      <c r="H165" s="508">
        <v>1.99</v>
      </c>
      <c r="I165" s="400">
        <v>2.23</v>
      </c>
      <c r="J165" s="499">
        <v>5.7000000000000002E-2</v>
      </c>
    </row>
    <row r="166" spans="1:10" ht="35.049999999999997" customHeight="1" x14ac:dyDescent="0.3">
      <c r="A166" s="398" t="s">
        <v>907</v>
      </c>
      <c r="B166" s="24"/>
      <c r="C166" s="406">
        <v>0</v>
      </c>
      <c r="D166" s="501">
        <v>1.4999999999999999E-2</v>
      </c>
      <c r="E166" s="502">
        <v>0</v>
      </c>
      <c r="F166" s="503">
        <v>0</v>
      </c>
      <c r="G166" s="508">
        <v>0.09</v>
      </c>
      <c r="H166" s="508">
        <v>1.99</v>
      </c>
      <c r="I166" s="400">
        <v>2.23</v>
      </c>
      <c r="J166" s="499">
        <v>5.7000000000000002E-2</v>
      </c>
    </row>
    <row r="167" spans="1:10" ht="35.049999999999997" customHeight="1" x14ac:dyDescent="0.3">
      <c r="A167" s="398" t="s">
        <v>593</v>
      </c>
      <c r="B167" s="24"/>
      <c r="C167" s="406" t="s">
        <v>616</v>
      </c>
      <c r="D167" s="504">
        <v>6.08</v>
      </c>
      <c r="E167" s="505">
        <v>0.30099999999999999</v>
      </c>
      <c r="F167" s="503">
        <v>2.1999999999999999E-2</v>
      </c>
      <c r="G167" s="509"/>
      <c r="H167" s="509"/>
      <c r="I167" s="399"/>
      <c r="J167" s="500"/>
    </row>
    <row r="168" spans="1:10" ht="35.049999999999997" customHeight="1" x14ac:dyDescent="0.3">
      <c r="A168" s="398" t="s">
        <v>706</v>
      </c>
      <c r="B168" s="24"/>
      <c r="C168" s="406">
        <v>0</v>
      </c>
      <c r="D168" s="501">
        <v>-1.375</v>
      </c>
      <c r="E168" s="502">
        <v>-0.191</v>
      </c>
      <c r="F168" s="503">
        <v>-2.7E-2</v>
      </c>
      <c r="G168" s="508">
        <v>0</v>
      </c>
      <c r="H168" s="509"/>
      <c r="I168" s="399"/>
      <c r="J168" s="500"/>
    </row>
    <row r="169" spans="1:10" ht="35.049999999999997" customHeight="1" x14ac:dyDescent="0.3">
      <c r="A169" s="398" t="s">
        <v>707</v>
      </c>
      <c r="B169" s="402"/>
      <c r="C169" s="406">
        <v>0</v>
      </c>
      <c r="D169" s="501">
        <v>-1.331</v>
      </c>
      <c r="E169" s="502">
        <v>-0.186</v>
      </c>
      <c r="F169" s="503">
        <v>-2.5000000000000001E-2</v>
      </c>
      <c r="G169" s="508">
        <v>0</v>
      </c>
      <c r="H169" s="509"/>
      <c r="I169" s="399"/>
      <c r="J169" s="500"/>
    </row>
    <row r="170" spans="1:10" ht="35.049999999999997" customHeight="1" x14ac:dyDescent="0.3">
      <c r="A170" s="398" t="s">
        <v>708</v>
      </c>
      <c r="B170" s="24"/>
      <c r="C170" s="406">
        <v>0</v>
      </c>
      <c r="D170" s="501">
        <v>-1.375</v>
      </c>
      <c r="E170" s="502">
        <v>-0.191</v>
      </c>
      <c r="F170" s="503">
        <v>-2.7E-2</v>
      </c>
      <c r="G170" s="508">
        <v>0</v>
      </c>
      <c r="H170" s="509"/>
      <c r="I170" s="399"/>
      <c r="J170" s="499">
        <v>9.4E-2</v>
      </c>
    </row>
    <row r="171" spans="1:10" ht="35.049999999999997" customHeight="1" x14ac:dyDescent="0.3">
      <c r="A171" s="398" t="s">
        <v>709</v>
      </c>
      <c r="B171" s="24"/>
      <c r="C171" s="406">
        <v>0</v>
      </c>
      <c r="D171" s="501">
        <v>-1.331</v>
      </c>
      <c r="E171" s="502">
        <v>-0.186</v>
      </c>
      <c r="F171" s="503">
        <v>-2.5000000000000001E-2</v>
      </c>
      <c r="G171" s="508">
        <v>0</v>
      </c>
      <c r="H171" s="509"/>
      <c r="I171" s="399"/>
      <c r="J171" s="499">
        <v>9.0999999999999998E-2</v>
      </c>
    </row>
    <row r="172" spans="1:10" ht="35.049999999999997" customHeight="1" x14ac:dyDescent="0.3">
      <c r="A172" s="398" t="s">
        <v>710</v>
      </c>
      <c r="B172" s="24"/>
      <c r="C172" s="406">
        <v>0</v>
      </c>
      <c r="D172" s="501">
        <v>-1.1459999999999999</v>
      </c>
      <c r="E172" s="502">
        <v>-0.16500000000000001</v>
      </c>
      <c r="F172" s="503">
        <v>-1.2E-2</v>
      </c>
      <c r="G172" s="508">
        <v>2.61</v>
      </c>
      <c r="H172" s="509"/>
      <c r="I172" s="399"/>
      <c r="J172" s="499">
        <v>0.10299999999999999</v>
      </c>
    </row>
    <row r="173" spans="1:10" ht="35.049999999999997" customHeight="1" x14ac:dyDescent="0.3">
      <c r="A173" s="398" t="s">
        <v>908</v>
      </c>
      <c r="B173" s="24"/>
      <c r="C173" s="406" t="s">
        <v>639</v>
      </c>
      <c r="D173" s="501">
        <v>0.78800000000000003</v>
      </c>
      <c r="E173" s="502">
        <v>8.2000000000000003E-2</v>
      </c>
      <c r="F173" s="503">
        <v>0</v>
      </c>
      <c r="G173" s="508">
        <v>0.2</v>
      </c>
      <c r="H173" s="509"/>
      <c r="I173" s="399"/>
      <c r="J173" s="500"/>
    </row>
    <row r="174" spans="1:10" ht="35.049999999999997" customHeight="1" x14ac:dyDescent="0.3">
      <c r="A174" s="398" t="s">
        <v>909</v>
      </c>
      <c r="B174" s="24"/>
      <c r="C174" s="406" t="s">
        <v>575</v>
      </c>
      <c r="D174" s="501">
        <v>0.82099999999999995</v>
      </c>
      <c r="E174" s="502">
        <v>0.114</v>
      </c>
      <c r="F174" s="503">
        <v>1.6E-2</v>
      </c>
      <c r="G174" s="509"/>
      <c r="H174" s="509"/>
      <c r="I174" s="399"/>
      <c r="J174" s="500"/>
    </row>
    <row r="175" spans="1:10" ht="35.049999999999997" customHeight="1" x14ac:dyDescent="0.3">
      <c r="A175" s="398" t="s">
        <v>910</v>
      </c>
      <c r="B175" s="24"/>
      <c r="C175" s="406" t="s">
        <v>640</v>
      </c>
      <c r="D175" s="501">
        <v>0.48599999999999999</v>
      </c>
      <c r="E175" s="502">
        <v>6.8000000000000005E-2</v>
      </c>
      <c r="F175" s="503">
        <v>0.01</v>
      </c>
      <c r="G175" s="508">
        <v>0.4</v>
      </c>
      <c r="H175" s="509"/>
      <c r="I175" s="399"/>
      <c r="J175" s="500"/>
    </row>
    <row r="176" spans="1:10" ht="35.049999999999997" customHeight="1" x14ac:dyDescent="0.3">
      <c r="A176" s="398" t="s">
        <v>911</v>
      </c>
      <c r="B176" s="24"/>
      <c r="C176" s="406" t="s">
        <v>640</v>
      </c>
      <c r="D176" s="501">
        <v>0.48599999999999999</v>
      </c>
      <c r="E176" s="502">
        <v>6.8000000000000005E-2</v>
      </c>
      <c r="F176" s="503">
        <v>0.01</v>
      </c>
      <c r="G176" s="508">
        <v>0.2</v>
      </c>
      <c r="H176" s="509"/>
      <c r="I176" s="399"/>
      <c r="J176" s="500"/>
    </row>
    <row r="177" spans="1:10" ht="35.049999999999997" customHeight="1" x14ac:dyDescent="0.3">
      <c r="A177" s="398" t="s">
        <v>912</v>
      </c>
      <c r="B177" s="24"/>
      <c r="C177" s="406" t="s">
        <v>640</v>
      </c>
      <c r="D177" s="501">
        <v>0.41499999999999998</v>
      </c>
      <c r="E177" s="502">
        <v>0</v>
      </c>
      <c r="F177" s="503">
        <v>0</v>
      </c>
      <c r="G177" s="508">
        <v>0.11</v>
      </c>
      <c r="H177" s="509"/>
      <c r="I177" s="399"/>
      <c r="J177" s="500"/>
    </row>
    <row r="178" spans="1:10" ht="35.049999999999997" customHeight="1" x14ac:dyDescent="0.3">
      <c r="A178" s="398" t="s">
        <v>913</v>
      </c>
      <c r="B178" s="24"/>
      <c r="C178" s="406" t="s">
        <v>640</v>
      </c>
      <c r="D178" s="501">
        <v>0.38500000000000001</v>
      </c>
      <c r="E178" s="502">
        <v>0</v>
      </c>
      <c r="F178" s="503">
        <v>0</v>
      </c>
      <c r="G178" s="508">
        <v>0.11</v>
      </c>
      <c r="H178" s="509"/>
      <c r="I178" s="399"/>
      <c r="J178" s="500"/>
    </row>
    <row r="179" spans="1:10" ht="35.049999999999997" customHeight="1" x14ac:dyDescent="0.3">
      <c r="A179" s="398" t="s">
        <v>914</v>
      </c>
      <c r="B179" s="24"/>
      <c r="C179" s="406" t="s">
        <v>640</v>
      </c>
      <c r="D179" s="501">
        <v>0.37</v>
      </c>
      <c r="E179" s="502">
        <v>0</v>
      </c>
      <c r="F179" s="503">
        <v>0</v>
      </c>
      <c r="G179" s="508">
        <v>0.11</v>
      </c>
      <c r="H179" s="509"/>
      <c r="I179" s="399"/>
      <c r="J179" s="500"/>
    </row>
    <row r="180" spans="1:10" ht="35.049999999999997" customHeight="1" x14ac:dyDescent="0.3">
      <c r="A180" s="398" t="s">
        <v>594</v>
      </c>
      <c r="B180" s="24"/>
      <c r="C180" s="406" t="s">
        <v>577</v>
      </c>
      <c r="D180" s="501">
        <v>0.48599999999999999</v>
      </c>
      <c r="E180" s="502">
        <v>6.8000000000000005E-2</v>
      </c>
      <c r="F180" s="503">
        <v>0.01</v>
      </c>
      <c r="G180" s="509"/>
      <c r="H180" s="509"/>
      <c r="I180" s="399"/>
      <c r="J180" s="500"/>
    </row>
    <row r="181" spans="1:10" ht="35.049999999999997" customHeight="1" x14ac:dyDescent="0.3">
      <c r="A181" s="398" t="s">
        <v>915</v>
      </c>
      <c r="B181" s="24"/>
      <c r="C181" s="406">
        <v>0</v>
      </c>
      <c r="D181" s="501">
        <v>0.442</v>
      </c>
      <c r="E181" s="502">
        <v>6.2E-2</v>
      </c>
      <c r="F181" s="503">
        <v>8.0000000000000002E-3</v>
      </c>
      <c r="G181" s="508">
        <v>0.91</v>
      </c>
      <c r="H181" s="508">
        <v>0.34</v>
      </c>
      <c r="I181" s="400">
        <v>0.53</v>
      </c>
      <c r="J181" s="499">
        <v>3.6999999999999998E-2</v>
      </c>
    </row>
    <row r="182" spans="1:10" ht="35.049999999999997" customHeight="1" x14ac:dyDescent="0.3">
      <c r="A182" s="398" t="s">
        <v>916</v>
      </c>
      <c r="B182" s="24"/>
      <c r="C182" s="406">
        <v>0</v>
      </c>
      <c r="D182" s="501">
        <v>0.27200000000000002</v>
      </c>
      <c r="E182" s="502">
        <v>1.6E-2</v>
      </c>
      <c r="F182" s="503">
        <v>4.0000000000000001E-3</v>
      </c>
      <c r="G182" s="508">
        <v>0.28999999999999998</v>
      </c>
      <c r="H182" s="508">
        <v>0.34</v>
      </c>
      <c r="I182" s="400">
        <v>0.53</v>
      </c>
      <c r="J182" s="499">
        <v>3.6999999999999998E-2</v>
      </c>
    </row>
    <row r="183" spans="1:10" ht="35.049999999999997" customHeight="1" x14ac:dyDescent="0.3">
      <c r="A183" s="398" t="s">
        <v>917</v>
      </c>
      <c r="B183" s="24"/>
      <c r="C183" s="406">
        <v>0</v>
      </c>
      <c r="D183" s="501">
        <v>0.26900000000000002</v>
      </c>
      <c r="E183" s="502">
        <v>1.6E-2</v>
      </c>
      <c r="F183" s="503">
        <v>4.0000000000000001E-3</v>
      </c>
      <c r="G183" s="508">
        <v>0.28999999999999998</v>
      </c>
      <c r="H183" s="508">
        <v>0.34</v>
      </c>
      <c r="I183" s="400">
        <v>0.53</v>
      </c>
      <c r="J183" s="499">
        <v>3.6999999999999998E-2</v>
      </c>
    </row>
    <row r="184" spans="1:10" ht="35.049999999999997" customHeight="1" x14ac:dyDescent="0.3">
      <c r="A184" s="398" t="s">
        <v>918</v>
      </c>
      <c r="B184" s="24"/>
      <c r="C184" s="406">
        <v>0</v>
      </c>
      <c r="D184" s="501">
        <v>0.26600000000000001</v>
      </c>
      <c r="E184" s="502">
        <v>1.6E-2</v>
      </c>
      <c r="F184" s="503">
        <v>4.0000000000000001E-3</v>
      </c>
      <c r="G184" s="508">
        <v>0.28999999999999998</v>
      </c>
      <c r="H184" s="508">
        <v>0.34</v>
      </c>
      <c r="I184" s="400">
        <v>0.53</v>
      </c>
      <c r="J184" s="499">
        <v>3.6999999999999998E-2</v>
      </c>
    </row>
    <row r="185" spans="1:10" ht="35.049999999999997" customHeight="1" x14ac:dyDescent="0.3">
      <c r="A185" s="398" t="s">
        <v>919</v>
      </c>
      <c r="B185" s="24"/>
      <c r="C185" s="406">
        <v>0</v>
      </c>
      <c r="D185" s="501">
        <v>0.26400000000000001</v>
      </c>
      <c r="E185" s="502">
        <v>1.6E-2</v>
      </c>
      <c r="F185" s="503">
        <v>4.0000000000000001E-3</v>
      </c>
      <c r="G185" s="508">
        <v>0.28999999999999998</v>
      </c>
      <c r="H185" s="508">
        <v>0.34</v>
      </c>
      <c r="I185" s="400">
        <v>0.53</v>
      </c>
      <c r="J185" s="499">
        <v>3.6999999999999998E-2</v>
      </c>
    </row>
    <row r="186" spans="1:10" ht="35.049999999999997" customHeight="1" x14ac:dyDescent="0.3">
      <c r="A186" s="398" t="s">
        <v>920</v>
      </c>
      <c r="B186" s="24"/>
      <c r="C186" s="406">
        <v>0</v>
      </c>
      <c r="D186" s="501">
        <v>0.441</v>
      </c>
      <c r="E186" s="502">
        <v>6.3E-2</v>
      </c>
      <c r="F186" s="503">
        <v>5.0000000000000001E-3</v>
      </c>
      <c r="G186" s="508">
        <v>0.97</v>
      </c>
      <c r="H186" s="508">
        <v>0.81</v>
      </c>
      <c r="I186" s="400">
        <v>0.92</v>
      </c>
      <c r="J186" s="499">
        <v>3.1E-2</v>
      </c>
    </row>
    <row r="187" spans="1:10" ht="35.049999999999997" customHeight="1" x14ac:dyDescent="0.3">
      <c r="A187" s="398" t="s">
        <v>921</v>
      </c>
      <c r="B187" s="24"/>
      <c r="C187" s="406">
        <v>0</v>
      </c>
      <c r="D187" s="501">
        <v>0.20599999999999999</v>
      </c>
      <c r="E187" s="502">
        <v>0</v>
      </c>
      <c r="F187" s="503">
        <v>0</v>
      </c>
      <c r="G187" s="508">
        <v>0.11</v>
      </c>
      <c r="H187" s="508">
        <v>0.81</v>
      </c>
      <c r="I187" s="400">
        <v>0.92</v>
      </c>
      <c r="J187" s="499">
        <v>3.1E-2</v>
      </c>
    </row>
    <row r="188" spans="1:10" ht="35.049999999999997" customHeight="1" x14ac:dyDescent="0.3">
      <c r="A188" s="398" t="s">
        <v>922</v>
      </c>
      <c r="B188" s="24"/>
      <c r="C188" s="406">
        <v>0</v>
      </c>
      <c r="D188" s="501">
        <v>0.20200000000000001</v>
      </c>
      <c r="E188" s="502">
        <v>0</v>
      </c>
      <c r="F188" s="503">
        <v>0</v>
      </c>
      <c r="G188" s="508">
        <v>0.11</v>
      </c>
      <c r="H188" s="508">
        <v>0.81</v>
      </c>
      <c r="I188" s="400">
        <v>0.92</v>
      </c>
      <c r="J188" s="499">
        <v>3.1E-2</v>
      </c>
    </row>
    <row r="189" spans="1:10" ht="35.049999999999997" customHeight="1" x14ac:dyDescent="0.3">
      <c r="A189" s="398" t="s">
        <v>923</v>
      </c>
      <c r="B189" s="24"/>
      <c r="C189" s="406">
        <v>0</v>
      </c>
      <c r="D189" s="501">
        <v>0.19800000000000001</v>
      </c>
      <c r="E189" s="502">
        <v>0</v>
      </c>
      <c r="F189" s="503">
        <v>0</v>
      </c>
      <c r="G189" s="508">
        <v>0.11</v>
      </c>
      <c r="H189" s="508">
        <v>0.81</v>
      </c>
      <c r="I189" s="400">
        <v>0.92</v>
      </c>
      <c r="J189" s="499">
        <v>3.1E-2</v>
      </c>
    </row>
    <row r="190" spans="1:10" ht="35.049999999999997" customHeight="1" x14ac:dyDescent="0.3">
      <c r="A190" s="398" t="s">
        <v>924</v>
      </c>
      <c r="B190" s="24"/>
      <c r="C190" s="406">
        <v>0</v>
      </c>
      <c r="D190" s="501">
        <v>0.19500000000000001</v>
      </c>
      <c r="E190" s="502">
        <v>0</v>
      </c>
      <c r="F190" s="503">
        <v>0</v>
      </c>
      <c r="G190" s="508">
        <v>0.11</v>
      </c>
      <c r="H190" s="508">
        <v>0.81</v>
      </c>
      <c r="I190" s="400">
        <v>0.92</v>
      </c>
      <c r="J190" s="499">
        <v>3.1E-2</v>
      </c>
    </row>
    <row r="191" spans="1:10" ht="35.049999999999997" customHeight="1" x14ac:dyDescent="0.3">
      <c r="A191" s="398" t="s">
        <v>925</v>
      </c>
      <c r="B191" s="24"/>
      <c r="C191" s="406">
        <v>0</v>
      </c>
      <c r="D191" s="501">
        <v>0.33100000000000002</v>
      </c>
      <c r="E191" s="502">
        <v>4.5999999999999999E-2</v>
      </c>
      <c r="F191" s="503">
        <v>3.0000000000000001E-3</v>
      </c>
      <c r="G191" s="508">
        <v>12.04</v>
      </c>
      <c r="H191" s="508">
        <v>0.92</v>
      </c>
      <c r="I191" s="400">
        <v>1.03</v>
      </c>
      <c r="J191" s="499">
        <v>2.5999999999999999E-2</v>
      </c>
    </row>
    <row r="192" spans="1:10" ht="35.049999999999997" customHeight="1" x14ac:dyDescent="0.3">
      <c r="A192" s="398" t="s">
        <v>926</v>
      </c>
      <c r="B192" s="24"/>
      <c r="C192" s="406">
        <v>0</v>
      </c>
      <c r="D192" s="501">
        <v>3.5999999999999997E-2</v>
      </c>
      <c r="E192" s="502">
        <v>0</v>
      </c>
      <c r="F192" s="503">
        <v>0</v>
      </c>
      <c r="G192" s="508">
        <v>0.11</v>
      </c>
      <c r="H192" s="508">
        <v>0.92</v>
      </c>
      <c r="I192" s="400">
        <v>1.03</v>
      </c>
      <c r="J192" s="499">
        <v>2.5999999999999999E-2</v>
      </c>
    </row>
    <row r="193" spans="1:10" ht="35.049999999999997" customHeight="1" x14ac:dyDescent="0.3">
      <c r="A193" s="398" t="s">
        <v>927</v>
      </c>
      <c r="B193" s="24"/>
      <c r="C193" s="406">
        <v>0</v>
      </c>
      <c r="D193" s="501">
        <v>1.7000000000000001E-2</v>
      </c>
      <c r="E193" s="502">
        <v>0</v>
      </c>
      <c r="F193" s="503">
        <v>0</v>
      </c>
      <c r="G193" s="508">
        <v>0.11</v>
      </c>
      <c r="H193" s="508">
        <v>0.92</v>
      </c>
      <c r="I193" s="400">
        <v>1.03</v>
      </c>
      <c r="J193" s="499">
        <v>2.5999999999999999E-2</v>
      </c>
    </row>
    <row r="194" spans="1:10" ht="35.049999999999997" customHeight="1" x14ac:dyDescent="0.3">
      <c r="A194" s="398" t="s">
        <v>928</v>
      </c>
      <c r="B194" s="24"/>
      <c r="C194" s="406">
        <v>0</v>
      </c>
      <c r="D194" s="501">
        <v>1.2E-2</v>
      </c>
      <c r="E194" s="502">
        <v>0</v>
      </c>
      <c r="F194" s="503">
        <v>0</v>
      </c>
      <c r="G194" s="508">
        <v>0.11</v>
      </c>
      <c r="H194" s="508">
        <v>0.92</v>
      </c>
      <c r="I194" s="400">
        <v>1.03</v>
      </c>
      <c r="J194" s="499">
        <v>2.5999999999999999E-2</v>
      </c>
    </row>
    <row r="195" spans="1:10" ht="35.049999999999997" customHeight="1" x14ac:dyDescent="0.3">
      <c r="A195" s="398" t="s">
        <v>929</v>
      </c>
      <c r="B195" s="24"/>
      <c r="C195" s="406">
        <v>0</v>
      </c>
      <c r="D195" s="501">
        <v>7.0000000000000001E-3</v>
      </c>
      <c r="E195" s="502">
        <v>0</v>
      </c>
      <c r="F195" s="503">
        <v>0</v>
      </c>
      <c r="G195" s="508">
        <v>0.11</v>
      </c>
      <c r="H195" s="508">
        <v>0.92</v>
      </c>
      <c r="I195" s="400">
        <v>1.03</v>
      </c>
      <c r="J195" s="499">
        <v>2.5999999999999999E-2</v>
      </c>
    </row>
    <row r="196" spans="1:10" ht="35.049999999999997" customHeight="1" x14ac:dyDescent="0.3">
      <c r="A196" s="398" t="s">
        <v>595</v>
      </c>
      <c r="B196" s="24"/>
      <c r="C196" s="406" t="s">
        <v>616</v>
      </c>
      <c r="D196" s="504">
        <v>2.8109999999999999</v>
      </c>
      <c r="E196" s="505">
        <v>0.13900000000000001</v>
      </c>
      <c r="F196" s="503">
        <v>0.01</v>
      </c>
      <c r="G196" s="509"/>
      <c r="H196" s="509"/>
      <c r="I196" s="399"/>
      <c r="J196" s="500"/>
    </row>
    <row r="197" spans="1:10" ht="35.049999999999997" customHeight="1" x14ac:dyDescent="0.3">
      <c r="A197" s="398" t="s">
        <v>711</v>
      </c>
      <c r="B197" s="24"/>
      <c r="C197" s="406">
        <v>0</v>
      </c>
      <c r="D197" s="501">
        <v>-0.63600000000000001</v>
      </c>
      <c r="E197" s="502">
        <v>-8.7999999999999995E-2</v>
      </c>
      <c r="F197" s="503">
        <v>-1.2999999999999999E-2</v>
      </c>
      <c r="G197" s="508">
        <v>0</v>
      </c>
      <c r="H197" s="509"/>
      <c r="I197" s="399"/>
      <c r="J197" s="500"/>
    </row>
    <row r="198" spans="1:10" ht="35.049999999999997" customHeight="1" x14ac:dyDescent="0.3">
      <c r="A198" s="398" t="s">
        <v>712</v>
      </c>
      <c r="B198" s="402"/>
      <c r="C198" s="406">
        <v>0</v>
      </c>
      <c r="D198" s="501">
        <v>-0.61499999999999999</v>
      </c>
      <c r="E198" s="502">
        <v>-8.5999999999999993E-2</v>
      </c>
      <c r="F198" s="503">
        <v>-1.0999999999999999E-2</v>
      </c>
      <c r="G198" s="508">
        <v>0</v>
      </c>
      <c r="H198" s="509"/>
      <c r="I198" s="399"/>
      <c r="J198" s="500"/>
    </row>
    <row r="199" spans="1:10" ht="35.049999999999997" customHeight="1" x14ac:dyDescent="0.3">
      <c r="A199" s="398" t="s">
        <v>713</v>
      </c>
      <c r="B199" s="24"/>
      <c r="C199" s="406">
        <v>0</v>
      </c>
      <c r="D199" s="501">
        <v>-0.63600000000000001</v>
      </c>
      <c r="E199" s="502">
        <v>-8.7999999999999995E-2</v>
      </c>
      <c r="F199" s="503">
        <v>-1.2999999999999999E-2</v>
      </c>
      <c r="G199" s="508">
        <v>0</v>
      </c>
      <c r="H199" s="509"/>
      <c r="I199" s="399"/>
      <c r="J199" s="499">
        <v>4.2999999999999997E-2</v>
      </c>
    </row>
    <row r="200" spans="1:10" ht="35.049999999999997" customHeight="1" x14ac:dyDescent="0.3">
      <c r="A200" s="398" t="s">
        <v>714</v>
      </c>
      <c r="B200" s="24"/>
      <c r="C200" s="406">
        <v>0</v>
      </c>
      <c r="D200" s="501">
        <v>-0.61499999999999999</v>
      </c>
      <c r="E200" s="502">
        <v>-8.5999999999999993E-2</v>
      </c>
      <c r="F200" s="503">
        <v>-1.0999999999999999E-2</v>
      </c>
      <c r="G200" s="508">
        <v>0</v>
      </c>
      <c r="H200" s="509"/>
      <c r="I200" s="399"/>
      <c r="J200" s="499">
        <v>4.2000000000000003E-2</v>
      </c>
    </row>
    <row r="201" spans="1:10" ht="35.049999999999997" customHeight="1" x14ac:dyDescent="0.3">
      <c r="A201" s="398" t="s">
        <v>715</v>
      </c>
      <c r="B201" s="24"/>
      <c r="C201" s="406">
        <v>0</v>
      </c>
      <c r="D201" s="501">
        <v>-0.53</v>
      </c>
      <c r="E201" s="502">
        <v>-7.5999999999999998E-2</v>
      </c>
      <c r="F201" s="503">
        <v>-6.0000000000000001E-3</v>
      </c>
      <c r="G201" s="508">
        <v>1.21</v>
      </c>
      <c r="H201" s="509"/>
      <c r="I201" s="399"/>
      <c r="J201" s="499">
        <v>4.8000000000000001E-2</v>
      </c>
    </row>
  </sheetData>
  <mergeCells count="11">
    <mergeCell ref="F5:G5"/>
    <mergeCell ref="A2:J2"/>
    <mergeCell ref="A4:D4"/>
    <mergeCell ref="F4:J4"/>
    <mergeCell ref="H10:J10"/>
    <mergeCell ref="F6:G6"/>
    <mergeCell ref="F7:G7"/>
    <mergeCell ref="B8:D8"/>
    <mergeCell ref="F8:G8"/>
    <mergeCell ref="F9:G9"/>
    <mergeCell ref="F10:G10"/>
  </mergeCells>
  <hyperlinks>
    <hyperlink ref="A1" location="Overview!A1" display="Back to Overview" xr:uid="{00000000-0004-0000-10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pageSetUpPr fitToPage="1"/>
  </sheetPr>
  <dimension ref="A1:Q201"/>
  <sheetViews>
    <sheetView zoomScale="50" zoomScaleNormal="50" workbookViewId="0">
      <selection activeCell="D9" sqref="D9"/>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7" ht="40" customHeight="1" x14ac:dyDescent="0.3">
      <c r="A1" s="30" t="s">
        <v>19</v>
      </c>
      <c r="B1" s="3"/>
      <c r="C1" s="3"/>
      <c r="D1" s="3"/>
      <c r="F1" s="3"/>
      <c r="G1" s="3"/>
      <c r="H1" s="3"/>
      <c r="I1" s="3"/>
      <c r="J1" s="1"/>
      <c r="K1" s="1"/>
    </row>
    <row r="2" spans="1:17" ht="40" customHeight="1" x14ac:dyDescent="0.3">
      <c r="A2" s="612" t="str">
        <f>Overview!B4&amp;" - Effective from "&amp;Overview!D4&amp;" - Final LDNO tariffs in SP Manweb Area (GSP Group_D)"</f>
        <v>Indigo Power Limited - Effective from 1 April 2023 - Final LDNO tariffs in SP Manweb Area (GSP Group_D)</v>
      </c>
      <c r="B2" s="612"/>
      <c r="C2" s="612"/>
      <c r="D2" s="612"/>
      <c r="E2" s="612"/>
      <c r="F2" s="612"/>
      <c r="G2" s="612"/>
      <c r="H2" s="612"/>
      <c r="I2" s="612"/>
      <c r="J2" s="612"/>
    </row>
    <row r="3" spans="1:17" ht="40" customHeight="1" x14ac:dyDescent="0.3">
      <c r="A3" s="48"/>
      <c r="B3" s="48"/>
      <c r="C3" s="48"/>
      <c r="D3" s="48"/>
      <c r="E3" s="48"/>
      <c r="F3" s="48"/>
      <c r="G3" s="48"/>
      <c r="H3" s="48"/>
      <c r="I3" s="48"/>
      <c r="J3" s="48"/>
    </row>
    <row r="4" spans="1:17" ht="40" customHeight="1" x14ac:dyDescent="0.3">
      <c r="A4" s="553" t="s">
        <v>308</v>
      </c>
      <c r="B4" s="554"/>
      <c r="C4" s="554"/>
      <c r="D4" s="555"/>
      <c r="E4" s="52"/>
      <c r="F4" s="553" t="s">
        <v>307</v>
      </c>
      <c r="G4" s="554"/>
      <c r="H4" s="554"/>
      <c r="I4" s="554"/>
      <c r="J4" s="555"/>
      <c r="L4" s="3"/>
    </row>
    <row r="5" spans="1:17" ht="40" customHeight="1" x14ac:dyDescent="0.3">
      <c r="A5" s="468" t="s">
        <v>13</v>
      </c>
      <c r="B5" s="270" t="s">
        <v>299</v>
      </c>
      <c r="C5" s="286" t="s">
        <v>300</v>
      </c>
      <c r="D5" s="42" t="s">
        <v>301</v>
      </c>
      <c r="E5" s="45"/>
      <c r="F5" s="549"/>
      <c r="G5" s="550"/>
      <c r="H5" s="43" t="s">
        <v>305</v>
      </c>
      <c r="I5" s="44" t="s">
        <v>306</v>
      </c>
      <c r="J5" s="42" t="s">
        <v>301</v>
      </c>
      <c r="K5" s="45"/>
      <c r="L5" s="3"/>
      <c r="M5" s="3"/>
    </row>
    <row r="6" spans="1:17" ht="40" customHeight="1" x14ac:dyDescent="0.3">
      <c r="A6" s="105" t="str">
        <f>'Annex 1 LV and HV charges_D'!A6</f>
        <v>Monday to Friday 
(Including Bank Holidays)
All Year</v>
      </c>
      <c r="B6" s="13" t="str">
        <f>'Annex 1 LV and HV charges_D'!B6</f>
        <v>16.30 - 19.30</v>
      </c>
      <c r="C6" s="264" t="str">
        <f>'Annex 1 LV and HV charges_D'!C6</f>
        <v>08.00 - 16.30
19.30 - 22.30</v>
      </c>
      <c r="D6" s="86" t="str">
        <f>'Annex 1 LV and HV charges_D'!E6</f>
        <v>00.00 - 08.00
22.30 - 00.00</v>
      </c>
      <c r="E6" s="45"/>
      <c r="F6" s="537" t="str">
        <f>'Annex 1 LV and HV charges_D'!G6</f>
        <v>Monday to Friday 
(Including Bank Holidays)
June to August Inclusive</v>
      </c>
      <c r="G6" s="538" t="str">
        <f>'Annex 1 LV and HV charges_D'!H6</f>
        <v/>
      </c>
      <c r="H6" s="263" t="str">
        <f>'Annex 1 LV and HV charges_D'!I6</f>
        <v/>
      </c>
      <c r="I6" s="269" t="str">
        <f>'Annex 1 LV and HV charges_D'!J6</f>
        <v>08.00 - 22.30</v>
      </c>
      <c r="J6" s="86" t="str">
        <f>'Annex 1 LV and HV charges_D'!K6</f>
        <v>00.00 - 08.00
22.30 - 00.00</v>
      </c>
      <c r="K6" s="45"/>
      <c r="L6" s="3"/>
      <c r="M6" s="3"/>
    </row>
    <row r="7" spans="1:17" ht="40" customHeight="1" x14ac:dyDescent="0.3">
      <c r="A7" s="105" t="str">
        <f>'Annex 1 LV and HV charges_D'!A7</f>
        <v>Saturday and Sunday
All Year</v>
      </c>
      <c r="B7" s="263" t="str">
        <f>'Annex 1 LV and HV charges_D'!B7</f>
        <v/>
      </c>
      <c r="C7" s="184" t="str">
        <f>'Annex 1 LV and HV charges_D'!C7</f>
        <v>16.00 - 20.00</v>
      </c>
      <c r="D7" s="269" t="str">
        <f>'Annex 1 LV and HV charges_D'!E7</f>
        <v>00.00 - 16.00
20.00 - 00.00</v>
      </c>
      <c r="E7" s="45"/>
      <c r="F7" s="537" t="str">
        <f>'Annex 1 LV and HV charges_D'!G7</f>
        <v>Monday to Friday 
(Including Bank Holidays)
November to February Inclusive</v>
      </c>
      <c r="G7" s="538" t="str">
        <f>'Annex 1 LV and HV charges_D'!H7</f>
        <v/>
      </c>
      <c r="H7" s="13" t="str">
        <f>'Annex 1 LV and HV charges_D'!I7</f>
        <v>16.30 - 19.30</v>
      </c>
      <c r="I7" s="269" t="str">
        <f>'Annex 1 LV and HV charges_D'!J7</f>
        <v>08.00 - 16.30
19.30 - 22.30</v>
      </c>
      <c r="J7" s="86" t="str">
        <f>'Annex 1 LV and HV charges_D'!K7</f>
        <v>00.00 - 08.00
22.30 - 00.00</v>
      </c>
      <c r="K7" s="45"/>
      <c r="L7" s="3"/>
      <c r="M7" s="3"/>
    </row>
    <row r="8" spans="1:17" ht="40" customHeight="1" x14ac:dyDescent="0.3">
      <c r="A8" s="465" t="str">
        <f>'Annex 1 LV and HV charges_D'!A8</f>
        <v>Notes</v>
      </c>
      <c r="B8" s="537" t="str">
        <f>'Annex 1 LV and HV charges_D'!B8</f>
        <v>All the above times are in UK Clock time</v>
      </c>
      <c r="C8" s="546" t="str">
        <f>'Annex 1 LV and HV charges_D'!C8</f>
        <v/>
      </c>
      <c r="D8" s="538" t="str">
        <f>'Annex 1 LV and HV charges_D'!D8</f>
        <v/>
      </c>
      <c r="E8" s="45"/>
      <c r="F8" s="537" t="str">
        <f>'Annex 1 LV and HV charges_D'!G8</f>
        <v>Monday to Friday 
(Including Bank Holidays)
March, April, May and September, October</v>
      </c>
      <c r="G8" s="538" t="str">
        <f>'Annex 1 LV and HV charges_D'!H8</f>
        <v/>
      </c>
      <c r="H8" s="263" t="str">
        <f>'Annex 1 LV and HV charges_D'!I8</f>
        <v/>
      </c>
      <c r="I8" s="269" t="str">
        <f>'Annex 1 LV and HV charges_D'!J8</f>
        <v>08.00 - 22.30</v>
      </c>
      <c r="J8" s="86" t="str">
        <f>'Annex 1 LV and HV charges_D'!K8</f>
        <v>00.00 - 08.00
22.30 - 00.00</v>
      </c>
      <c r="K8" s="45"/>
      <c r="L8" s="3"/>
      <c r="M8" s="3"/>
    </row>
    <row r="9" spans="1:17" s="41" customFormat="1" ht="40" customHeight="1" x14ac:dyDescent="0.3">
      <c r="A9" s="47"/>
      <c r="D9" s="521" t="s">
        <v>480</v>
      </c>
      <c r="E9" s="49"/>
      <c r="F9" s="537" t="str">
        <f>'Annex 1 LV and HV charges_D'!G9</f>
        <v>Saturday and Sunday
All year</v>
      </c>
      <c r="G9" s="538" t="str">
        <f>'Annex 1 LV and HV charges_D'!H9</f>
        <v/>
      </c>
      <c r="H9" s="263" t="str">
        <f>'Annex 1 LV and HV charges_D'!I9</f>
        <v/>
      </c>
      <c r="I9" s="86" t="str">
        <f>'Annex 1 LV and HV charges_D'!J9</f>
        <v>16.00 - 20.00</v>
      </c>
      <c r="J9" s="86" t="str">
        <f>'Annex 1 LV and HV charges_D'!K9</f>
        <v>00:00-16:00
20:00-00:00</v>
      </c>
      <c r="K9" s="45"/>
      <c r="L9" s="29"/>
      <c r="M9" s="29"/>
    </row>
    <row r="10" spans="1:17" s="47" customFormat="1" ht="40" customHeight="1" x14ac:dyDescent="0.3">
      <c r="B10" s="45"/>
      <c r="C10" s="45"/>
      <c r="D10" s="45"/>
      <c r="E10" s="49"/>
      <c r="F10" s="537" t="str">
        <f>'Annex 1 LV and HV charges_D'!G10</f>
        <v>Notes</v>
      </c>
      <c r="G10" s="538" t="str">
        <f>'Annex 1 LV and HV charges_D'!H10</f>
        <v/>
      </c>
      <c r="H10" s="537" t="str">
        <f>'Annex 1 LV and HV charges_D'!I10</f>
        <v>All the above times are in UK Clock time</v>
      </c>
      <c r="I10" s="546" t="str">
        <f>'Annex 1 LV and HV charges_D'!J10</f>
        <v/>
      </c>
      <c r="J10" s="538" t="str">
        <f>'Annex 1 LV and HV charges_D'!K10</f>
        <v/>
      </c>
      <c r="K10" s="46"/>
      <c r="L10" s="46"/>
    </row>
    <row r="11" spans="1:17" ht="75" customHeight="1" x14ac:dyDescent="0.3">
      <c r="A11" s="18" t="s">
        <v>455</v>
      </c>
      <c r="B11" s="18" t="s">
        <v>31</v>
      </c>
      <c r="C11" s="433" t="s">
        <v>24</v>
      </c>
      <c r="D11" s="374" t="s">
        <v>579</v>
      </c>
      <c r="E11" s="374" t="s">
        <v>580</v>
      </c>
      <c r="F11" s="374" t="s">
        <v>581</v>
      </c>
      <c r="G11" s="433" t="s">
        <v>25</v>
      </c>
      <c r="H11" s="433" t="s">
        <v>26</v>
      </c>
      <c r="I11" s="433" t="s">
        <v>456</v>
      </c>
      <c r="J11" s="433" t="s">
        <v>270</v>
      </c>
    </row>
    <row r="12" spans="1:17" ht="35.049999999999997" customHeight="1" x14ac:dyDescent="0.3">
      <c r="A12" s="398" t="s">
        <v>786</v>
      </c>
      <c r="B12" s="17"/>
      <c r="C12" s="519"/>
      <c r="D12" s="501">
        <v>5.7069999999999999</v>
      </c>
      <c r="E12" s="502">
        <v>1.423</v>
      </c>
      <c r="F12" s="503">
        <v>0.14199999999999999</v>
      </c>
      <c r="G12" s="508">
        <v>13.74</v>
      </c>
      <c r="H12" s="509">
        <v>0</v>
      </c>
      <c r="I12" s="399">
        <v>0</v>
      </c>
      <c r="J12" s="500">
        <v>0</v>
      </c>
      <c r="K12" s="408"/>
      <c r="L12" s="407"/>
      <c r="M12" s="407"/>
      <c r="N12" s="407"/>
      <c r="O12" s="407"/>
      <c r="P12" s="407"/>
      <c r="Q12" s="407"/>
    </row>
    <row r="13" spans="1:17" ht="35.049999999999997" customHeight="1" x14ac:dyDescent="0.3">
      <c r="A13" s="398" t="s">
        <v>787</v>
      </c>
      <c r="B13" s="17"/>
      <c r="C13" s="519"/>
      <c r="D13" s="501">
        <v>5.7069999999999999</v>
      </c>
      <c r="E13" s="502">
        <v>1.423</v>
      </c>
      <c r="F13" s="503">
        <v>0.14199999999999999</v>
      </c>
      <c r="G13" s="509">
        <v>0</v>
      </c>
      <c r="H13" s="509">
        <v>0</v>
      </c>
      <c r="I13" s="399">
        <v>0</v>
      </c>
      <c r="J13" s="500">
        <v>0</v>
      </c>
      <c r="K13" s="408"/>
      <c r="L13" s="407"/>
      <c r="M13" s="407"/>
      <c r="N13" s="407"/>
      <c r="O13" s="407"/>
      <c r="P13" s="407"/>
      <c r="Q13" s="407"/>
    </row>
    <row r="14" spans="1:17" ht="35.049999999999997" customHeight="1" x14ac:dyDescent="0.3">
      <c r="A14" s="398" t="s">
        <v>788</v>
      </c>
      <c r="B14" s="17"/>
      <c r="C14" s="519"/>
      <c r="D14" s="501">
        <v>7.0460000000000003</v>
      </c>
      <c r="E14" s="502">
        <v>1.7569999999999999</v>
      </c>
      <c r="F14" s="503">
        <v>0.17499999999999999</v>
      </c>
      <c r="G14" s="508">
        <v>3.81</v>
      </c>
      <c r="H14" s="509">
        <v>0</v>
      </c>
      <c r="I14" s="399">
        <v>0</v>
      </c>
      <c r="J14" s="500">
        <v>0</v>
      </c>
      <c r="K14" s="408"/>
      <c r="L14" s="407"/>
      <c r="M14" s="407"/>
      <c r="N14" s="407"/>
      <c r="O14" s="407"/>
      <c r="P14" s="407"/>
      <c r="Q14" s="407"/>
    </row>
    <row r="15" spans="1:17" ht="35.049999999999997" customHeight="1" x14ac:dyDescent="0.3">
      <c r="A15" s="398" t="s">
        <v>789</v>
      </c>
      <c r="B15" s="17"/>
      <c r="C15" s="519"/>
      <c r="D15" s="501">
        <v>7.0460000000000003</v>
      </c>
      <c r="E15" s="502">
        <v>1.7569999999999999</v>
      </c>
      <c r="F15" s="503">
        <v>0.17499999999999999</v>
      </c>
      <c r="G15" s="508">
        <v>14.52</v>
      </c>
      <c r="H15" s="509">
        <v>0</v>
      </c>
      <c r="I15" s="399">
        <v>0</v>
      </c>
      <c r="J15" s="500">
        <v>0</v>
      </c>
      <c r="K15" s="408"/>
      <c r="L15" s="407"/>
      <c r="M15" s="407"/>
      <c r="N15" s="407"/>
      <c r="O15" s="407"/>
      <c r="P15" s="407"/>
      <c r="Q15" s="407"/>
    </row>
    <row r="16" spans="1:17" ht="35.049999999999997" customHeight="1" x14ac:dyDescent="0.3">
      <c r="A16" s="398" t="s">
        <v>790</v>
      </c>
      <c r="B16" s="17"/>
      <c r="C16" s="519"/>
      <c r="D16" s="501">
        <v>7.0460000000000003</v>
      </c>
      <c r="E16" s="502">
        <v>1.7569999999999999</v>
      </c>
      <c r="F16" s="503">
        <v>0.17499999999999999</v>
      </c>
      <c r="G16" s="508">
        <v>30.85</v>
      </c>
      <c r="H16" s="509">
        <v>0</v>
      </c>
      <c r="I16" s="399">
        <v>0</v>
      </c>
      <c r="J16" s="500">
        <v>0</v>
      </c>
      <c r="K16" s="408"/>
      <c r="L16" s="407"/>
      <c r="M16" s="407"/>
      <c r="N16" s="407"/>
      <c r="O16" s="407"/>
      <c r="P16" s="407"/>
      <c r="Q16" s="407"/>
    </row>
    <row r="17" spans="1:17" ht="35.049999999999997" customHeight="1" x14ac:dyDescent="0.3">
      <c r="A17" s="398" t="s">
        <v>791</v>
      </c>
      <c r="B17" s="17"/>
      <c r="C17" s="519"/>
      <c r="D17" s="501">
        <v>7.0460000000000003</v>
      </c>
      <c r="E17" s="502">
        <v>1.7569999999999999</v>
      </c>
      <c r="F17" s="503">
        <v>0.17499999999999999</v>
      </c>
      <c r="G17" s="508">
        <v>64.069999999999993</v>
      </c>
      <c r="H17" s="509">
        <v>0</v>
      </c>
      <c r="I17" s="399">
        <v>0</v>
      </c>
      <c r="J17" s="500">
        <v>0</v>
      </c>
      <c r="K17" s="408"/>
      <c r="L17" s="407"/>
      <c r="M17" s="407"/>
      <c r="N17" s="407"/>
      <c r="O17" s="407"/>
      <c r="P17" s="407"/>
      <c r="Q17" s="407"/>
    </row>
    <row r="18" spans="1:17" ht="35.049999999999997" customHeight="1" x14ac:dyDescent="0.3">
      <c r="A18" s="398" t="s">
        <v>792</v>
      </c>
      <c r="B18" s="17"/>
      <c r="C18" s="519"/>
      <c r="D18" s="501">
        <v>7.0460000000000003</v>
      </c>
      <c r="E18" s="502">
        <v>1.7569999999999999</v>
      </c>
      <c r="F18" s="503">
        <v>0.17499999999999999</v>
      </c>
      <c r="G18" s="508">
        <v>204.68</v>
      </c>
      <c r="H18" s="509">
        <v>0</v>
      </c>
      <c r="I18" s="399">
        <v>0</v>
      </c>
      <c r="J18" s="500">
        <v>0</v>
      </c>
      <c r="K18" s="408"/>
      <c r="L18" s="407"/>
      <c r="M18" s="407"/>
      <c r="N18" s="407"/>
      <c r="O18" s="407"/>
      <c r="P18" s="407"/>
      <c r="Q18" s="407"/>
    </row>
    <row r="19" spans="1:17" ht="35.049999999999997" customHeight="1" x14ac:dyDescent="0.3">
      <c r="A19" s="398" t="s">
        <v>582</v>
      </c>
      <c r="B19" s="17"/>
      <c r="C19" s="519"/>
      <c r="D19" s="501">
        <v>7.0460000000000003</v>
      </c>
      <c r="E19" s="502">
        <v>1.7569999999999999</v>
      </c>
      <c r="F19" s="503">
        <v>0.17499999999999999</v>
      </c>
      <c r="G19" s="509">
        <v>0</v>
      </c>
      <c r="H19" s="509">
        <v>0</v>
      </c>
      <c r="I19" s="399">
        <v>0</v>
      </c>
      <c r="J19" s="500">
        <v>0</v>
      </c>
      <c r="K19" s="408"/>
      <c r="L19" s="407"/>
      <c r="M19" s="407"/>
      <c r="N19" s="407"/>
      <c r="O19" s="407"/>
      <c r="P19" s="407"/>
      <c r="Q19" s="407"/>
    </row>
    <row r="20" spans="1:17" ht="35.049999999999997" customHeight="1" x14ac:dyDescent="0.3">
      <c r="A20" s="398" t="s">
        <v>793</v>
      </c>
      <c r="B20" s="17"/>
      <c r="C20" s="519"/>
      <c r="D20" s="501">
        <v>4.835</v>
      </c>
      <c r="E20" s="502">
        <v>1.119</v>
      </c>
      <c r="F20" s="503">
        <v>0.109</v>
      </c>
      <c r="G20" s="508">
        <v>14.76</v>
      </c>
      <c r="H20" s="508">
        <v>1.98</v>
      </c>
      <c r="I20" s="400">
        <v>3.25</v>
      </c>
      <c r="J20" s="499">
        <v>0.314</v>
      </c>
      <c r="K20" s="408"/>
      <c r="L20" s="407"/>
      <c r="M20" s="407"/>
      <c r="N20" s="407"/>
      <c r="O20" s="407"/>
      <c r="P20" s="407"/>
      <c r="Q20" s="407"/>
    </row>
    <row r="21" spans="1:17" ht="35.049999999999997" customHeight="1" x14ac:dyDescent="0.3">
      <c r="A21" s="398" t="s">
        <v>794</v>
      </c>
      <c r="B21" s="17"/>
      <c r="C21" s="519"/>
      <c r="D21" s="501">
        <v>4.835</v>
      </c>
      <c r="E21" s="502">
        <v>1.119</v>
      </c>
      <c r="F21" s="503">
        <v>0.109</v>
      </c>
      <c r="G21" s="508">
        <v>321.23</v>
      </c>
      <c r="H21" s="508">
        <v>1.98</v>
      </c>
      <c r="I21" s="400">
        <v>3.25</v>
      </c>
      <c r="J21" s="499">
        <v>0.314</v>
      </c>
      <c r="K21" s="408"/>
      <c r="L21" s="407"/>
      <c r="M21" s="407"/>
      <c r="N21" s="407"/>
      <c r="O21" s="407"/>
      <c r="P21" s="407"/>
      <c r="Q21" s="407"/>
    </row>
    <row r="22" spans="1:17" ht="35.049999999999997" customHeight="1" x14ac:dyDescent="0.3">
      <c r="A22" s="398" t="s">
        <v>795</v>
      </c>
      <c r="B22" s="17"/>
      <c r="C22" s="519"/>
      <c r="D22" s="501">
        <v>4.835</v>
      </c>
      <c r="E22" s="502">
        <v>1.119</v>
      </c>
      <c r="F22" s="503">
        <v>0.109</v>
      </c>
      <c r="G22" s="508">
        <v>636.34</v>
      </c>
      <c r="H22" s="508">
        <v>1.98</v>
      </c>
      <c r="I22" s="400">
        <v>3.25</v>
      </c>
      <c r="J22" s="499">
        <v>0.314</v>
      </c>
      <c r="K22" s="408"/>
      <c r="L22" s="407"/>
      <c r="M22" s="407"/>
      <c r="N22" s="407"/>
      <c r="O22" s="407"/>
      <c r="P22" s="407"/>
      <c r="Q22" s="407"/>
    </row>
    <row r="23" spans="1:17" ht="35.049999999999997" customHeight="1" x14ac:dyDescent="0.3">
      <c r="A23" s="398" t="s">
        <v>796</v>
      </c>
      <c r="B23" s="17"/>
      <c r="C23" s="519"/>
      <c r="D23" s="501">
        <v>4.835</v>
      </c>
      <c r="E23" s="502">
        <v>1.119</v>
      </c>
      <c r="F23" s="503">
        <v>0.109</v>
      </c>
      <c r="G23" s="508">
        <v>1000.69</v>
      </c>
      <c r="H23" s="508">
        <v>1.98</v>
      </c>
      <c r="I23" s="400">
        <v>3.25</v>
      </c>
      <c r="J23" s="499">
        <v>0.314</v>
      </c>
      <c r="K23" s="408"/>
      <c r="L23" s="407"/>
      <c r="M23" s="407"/>
      <c r="N23" s="407"/>
      <c r="O23" s="407"/>
      <c r="P23" s="407"/>
      <c r="Q23" s="407"/>
    </row>
    <row r="24" spans="1:17" ht="35.049999999999997" customHeight="1" x14ac:dyDescent="0.3">
      <c r="A24" s="398" t="s">
        <v>797</v>
      </c>
      <c r="B24" s="17"/>
      <c r="C24" s="519"/>
      <c r="D24" s="501">
        <v>4.835</v>
      </c>
      <c r="E24" s="502">
        <v>1.119</v>
      </c>
      <c r="F24" s="503">
        <v>0.109</v>
      </c>
      <c r="G24" s="508">
        <v>2276.84</v>
      </c>
      <c r="H24" s="508">
        <v>1.98</v>
      </c>
      <c r="I24" s="400">
        <v>3.25</v>
      </c>
      <c r="J24" s="499">
        <v>0.314</v>
      </c>
      <c r="K24" s="408"/>
      <c r="L24" s="407"/>
      <c r="M24" s="407"/>
      <c r="N24" s="407"/>
      <c r="O24" s="407"/>
      <c r="P24" s="407"/>
      <c r="Q24" s="407"/>
    </row>
    <row r="25" spans="1:17" ht="35.049999999999997" customHeight="1" x14ac:dyDescent="0.3">
      <c r="A25" s="398" t="s">
        <v>583</v>
      </c>
      <c r="B25" s="17"/>
      <c r="C25" s="520"/>
      <c r="D25" s="504">
        <v>12.256</v>
      </c>
      <c r="E25" s="505">
        <v>2.8530000000000002</v>
      </c>
      <c r="F25" s="503">
        <v>1.5649999999999999</v>
      </c>
      <c r="G25" s="509">
        <v>0</v>
      </c>
      <c r="H25" s="509">
        <v>0</v>
      </c>
      <c r="I25" s="399">
        <v>0</v>
      </c>
      <c r="J25" s="500">
        <v>0</v>
      </c>
      <c r="K25" s="408"/>
      <c r="L25" s="407"/>
      <c r="M25" s="407"/>
      <c r="N25" s="407"/>
      <c r="O25" s="407"/>
      <c r="P25" s="407"/>
      <c r="Q25" s="407"/>
    </row>
    <row r="26" spans="1:17" ht="35.049999999999997" customHeight="1" x14ac:dyDescent="0.3">
      <c r="A26" s="398" t="s">
        <v>686</v>
      </c>
      <c r="B26" s="17"/>
      <c r="C26" s="520"/>
      <c r="D26" s="501">
        <v>-7.0460000000000003</v>
      </c>
      <c r="E26" s="502">
        <v>-1.756</v>
      </c>
      <c r="F26" s="503">
        <v>-0.17499999999999999</v>
      </c>
      <c r="G26" s="508">
        <v>0</v>
      </c>
      <c r="H26" s="509">
        <v>0</v>
      </c>
      <c r="I26" s="399">
        <v>0</v>
      </c>
      <c r="J26" s="500">
        <v>0</v>
      </c>
      <c r="K26" s="408"/>
      <c r="L26" s="407"/>
      <c r="M26" s="407"/>
      <c r="N26" s="407"/>
      <c r="O26" s="407"/>
      <c r="P26" s="407"/>
      <c r="Q26" s="407"/>
    </row>
    <row r="27" spans="1:17" ht="35.049999999999997" customHeight="1" x14ac:dyDescent="0.3">
      <c r="A27" s="398" t="s">
        <v>687</v>
      </c>
      <c r="B27" s="17"/>
      <c r="C27" s="520"/>
      <c r="D27" s="501">
        <v>-7.0460000000000003</v>
      </c>
      <c r="E27" s="502">
        <v>-1.756</v>
      </c>
      <c r="F27" s="503">
        <v>-0.17499999999999999</v>
      </c>
      <c r="G27" s="508">
        <v>0</v>
      </c>
      <c r="H27" s="509">
        <v>0</v>
      </c>
      <c r="I27" s="399">
        <v>0</v>
      </c>
      <c r="J27" s="499">
        <v>0.42699999999999999</v>
      </c>
      <c r="K27" s="408"/>
      <c r="L27" s="407"/>
      <c r="M27" s="407"/>
      <c r="N27" s="407"/>
      <c r="O27" s="407"/>
      <c r="P27" s="407"/>
      <c r="Q27" s="407"/>
    </row>
    <row r="28" spans="1:17" ht="35.049999999999997" customHeight="1" x14ac:dyDescent="0.3">
      <c r="A28" s="401" t="s">
        <v>798</v>
      </c>
      <c r="B28" s="17"/>
      <c r="C28" s="520"/>
      <c r="D28" s="501">
        <v>4.1230000000000002</v>
      </c>
      <c r="E28" s="502">
        <v>1.028</v>
      </c>
      <c r="F28" s="503">
        <v>0.10299999999999999</v>
      </c>
      <c r="G28" s="508">
        <v>10.02</v>
      </c>
      <c r="H28" s="509">
        <v>0</v>
      </c>
      <c r="I28" s="399">
        <v>0</v>
      </c>
      <c r="J28" s="500">
        <v>0</v>
      </c>
      <c r="K28" s="408"/>
      <c r="L28" s="407"/>
      <c r="M28" s="407"/>
      <c r="N28" s="407"/>
      <c r="O28" s="407"/>
      <c r="P28" s="407"/>
      <c r="Q28" s="407"/>
    </row>
    <row r="29" spans="1:17" ht="35.049999999999997" customHeight="1" x14ac:dyDescent="0.3">
      <c r="A29" s="401" t="s">
        <v>799</v>
      </c>
      <c r="B29" s="17"/>
      <c r="C29" s="520"/>
      <c r="D29" s="501">
        <v>4.1230000000000002</v>
      </c>
      <c r="E29" s="502">
        <v>1.028</v>
      </c>
      <c r="F29" s="503">
        <v>0.10299999999999999</v>
      </c>
      <c r="G29" s="509">
        <v>0</v>
      </c>
      <c r="H29" s="509">
        <v>0</v>
      </c>
      <c r="I29" s="399">
        <v>0</v>
      </c>
      <c r="J29" s="500">
        <v>0</v>
      </c>
      <c r="K29" s="408"/>
      <c r="L29" s="407"/>
      <c r="M29" s="407"/>
      <c r="N29" s="407"/>
      <c r="O29" s="407"/>
      <c r="P29" s="407"/>
      <c r="Q29" s="407"/>
    </row>
    <row r="30" spans="1:17" ht="35.049999999999997" customHeight="1" x14ac:dyDescent="0.3">
      <c r="A30" s="401" t="s">
        <v>800</v>
      </c>
      <c r="B30" s="17"/>
      <c r="C30" s="520"/>
      <c r="D30" s="501">
        <v>5.0910000000000002</v>
      </c>
      <c r="E30" s="502">
        <v>1.2689999999999999</v>
      </c>
      <c r="F30" s="503">
        <v>0.127</v>
      </c>
      <c r="G30" s="508">
        <v>2.8</v>
      </c>
      <c r="H30" s="509">
        <v>0</v>
      </c>
      <c r="I30" s="399">
        <v>0</v>
      </c>
      <c r="J30" s="500">
        <v>0</v>
      </c>
      <c r="K30" s="408"/>
      <c r="L30" s="407"/>
      <c r="M30" s="407"/>
      <c r="N30" s="407"/>
      <c r="O30" s="407"/>
      <c r="P30" s="407"/>
      <c r="Q30" s="407"/>
    </row>
    <row r="31" spans="1:17" ht="35.049999999999997" customHeight="1" x14ac:dyDescent="0.3">
      <c r="A31" s="401" t="s">
        <v>801</v>
      </c>
      <c r="B31" s="17"/>
      <c r="C31" s="520"/>
      <c r="D31" s="501">
        <v>5.0910000000000002</v>
      </c>
      <c r="E31" s="502">
        <v>1.2689999999999999</v>
      </c>
      <c r="F31" s="503">
        <v>0.127</v>
      </c>
      <c r="G31" s="508">
        <v>10.54</v>
      </c>
      <c r="H31" s="509">
        <v>0</v>
      </c>
      <c r="I31" s="399">
        <v>0</v>
      </c>
      <c r="J31" s="500">
        <v>0</v>
      </c>
      <c r="K31" s="408"/>
      <c r="L31" s="407"/>
      <c r="M31" s="407"/>
      <c r="N31" s="407"/>
      <c r="O31" s="407"/>
      <c r="P31" s="407"/>
      <c r="Q31" s="407"/>
    </row>
    <row r="32" spans="1:17" ht="35.049999999999997" customHeight="1" x14ac:dyDescent="0.3">
      <c r="A32" s="401" t="s">
        <v>802</v>
      </c>
      <c r="B32" s="17"/>
      <c r="C32" s="520"/>
      <c r="D32" s="501">
        <v>5.0910000000000002</v>
      </c>
      <c r="E32" s="502">
        <v>1.2689999999999999</v>
      </c>
      <c r="F32" s="503">
        <v>0.127</v>
      </c>
      <c r="G32" s="508">
        <v>22.34</v>
      </c>
      <c r="H32" s="509">
        <v>0</v>
      </c>
      <c r="I32" s="399">
        <v>0</v>
      </c>
      <c r="J32" s="500">
        <v>0</v>
      </c>
      <c r="K32" s="408"/>
      <c r="L32" s="407"/>
      <c r="M32" s="407"/>
      <c r="N32" s="407"/>
      <c r="O32" s="407"/>
      <c r="P32" s="407"/>
      <c r="Q32" s="407"/>
    </row>
    <row r="33" spans="1:17" ht="35.049999999999997" customHeight="1" x14ac:dyDescent="0.3">
      <c r="A33" s="401" t="s">
        <v>803</v>
      </c>
      <c r="B33" s="17"/>
      <c r="C33" s="520"/>
      <c r="D33" s="501">
        <v>5.0910000000000002</v>
      </c>
      <c r="E33" s="502">
        <v>1.2689999999999999</v>
      </c>
      <c r="F33" s="503">
        <v>0.127</v>
      </c>
      <c r="G33" s="508">
        <v>46.34</v>
      </c>
      <c r="H33" s="509">
        <v>0</v>
      </c>
      <c r="I33" s="399">
        <v>0</v>
      </c>
      <c r="J33" s="500">
        <v>0</v>
      </c>
      <c r="K33" s="408"/>
      <c r="L33" s="407"/>
      <c r="M33" s="407"/>
      <c r="N33" s="407"/>
      <c r="O33" s="407"/>
      <c r="P33" s="407"/>
      <c r="Q33" s="407"/>
    </row>
    <row r="34" spans="1:17" ht="35.049999999999997" customHeight="1" x14ac:dyDescent="0.3">
      <c r="A34" s="401" t="s">
        <v>804</v>
      </c>
      <c r="B34" s="17"/>
      <c r="C34" s="520"/>
      <c r="D34" s="501">
        <v>5.0910000000000002</v>
      </c>
      <c r="E34" s="502">
        <v>1.2689999999999999</v>
      </c>
      <c r="F34" s="503">
        <v>0.127</v>
      </c>
      <c r="G34" s="508">
        <v>147.91999999999999</v>
      </c>
      <c r="H34" s="509">
        <v>0</v>
      </c>
      <c r="I34" s="399">
        <v>0</v>
      </c>
      <c r="J34" s="500">
        <v>0</v>
      </c>
      <c r="K34" s="408"/>
      <c r="L34" s="407"/>
      <c r="M34" s="407"/>
      <c r="N34" s="407"/>
      <c r="O34" s="407"/>
      <c r="P34" s="407"/>
      <c r="Q34" s="407"/>
    </row>
    <row r="35" spans="1:17" ht="35.049999999999997" customHeight="1" x14ac:dyDescent="0.3">
      <c r="A35" s="401" t="s">
        <v>584</v>
      </c>
      <c r="B35" s="17"/>
      <c r="C35" s="520"/>
      <c r="D35" s="501">
        <v>5.0910000000000002</v>
      </c>
      <c r="E35" s="502">
        <v>1.2689999999999999</v>
      </c>
      <c r="F35" s="503">
        <v>0.127</v>
      </c>
      <c r="G35" s="509">
        <v>0</v>
      </c>
      <c r="H35" s="509">
        <v>0</v>
      </c>
      <c r="I35" s="399">
        <v>0</v>
      </c>
      <c r="J35" s="500">
        <v>0</v>
      </c>
      <c r="K35" s="408"/>
      <c r="L35" s="407"/>
      <c r="M35" s="407"/>
      <c r="N35" s="407"/>
      <c r="O35" s="407"/>
      <c r="P35" s="407"/>
      <c r="Q35" s="407"/>
    </row>
    <row r="36" spans="1:17" ht="35.049999999999997" customHeight="1" x14ac:dyDescent="0.3">
      <c r="A36" s="401" t="s">
        <v>805</v>
      </c>
      <c r="B36" s="17"/>
      <c r="C36" s="520"/>
      <c r="D36" s="501">
        <v>3.4929999999999999</v>
      </c>
      <c r="E36" s="502">
        <v>0.80800000000000005</v>
      </c>
      <c r="F36" s="503">
        <v>7.9000000000000001E-2</v>
      </c>
      <c r="G36" s="508">
        <v>10.71</v>
      </c>
      <c r="H36" s="508">
        <v>1.43</v>
      </c>
      <c r="I36" s="400">
        <v>2.35</v>
      </c>
      <c r="J36" s="499">
        <v>0.22700000000000001</v>
      </c>
      <c r="K36" s="408"/>
      <c r="L36" s="407"/>
      <c r="M36" s="407"/>
      <c r="N36" s="407"/>
      <c r="O36" s="407"/>
      <c r="P36" s="407"/>
      <c r="Q36" s="407"/>
    </row>
    <row r="37" spans="1:17" ht="35.049999999999997" customHeight="1" x14ac:dyDescent="0.3">
      <c r="A37" s="401" t="s">
        <v>806</v>
      </c>
      <c r="B37" s="17"/>
      <c r="C37" s="520"/>
      <c r="D37" s="501">
        <v>3.4929999999999999</v>
      </c>
      <c r="E37" s="502">
        <v>0.80800000000000005</v>
      </c>
      <c r="F37" s="503">
        <v>7.9000000000000001E-2</v>
      </c>
      <c r="G37" s="508">
        <v>232.12</v>
      </c>
      <c r="H37" s="508">
        <v>1.43</v>
      </c>
      <c r="I37" s="400">
        <v>2.35</v>
      </c>
      <c r="J37" s="499">
        <v>0.22700000000000001</v>
      </c>
      <c r="K37" s="408"/>
      <c r="L37" s="407"/>
      <c r="M37" s="407"/>
      <c r="N37" s="407"/>
      <c r="O37" s="407"/>
      <c r="P37" s="407"/>
      <c r="Q37" s="407"/>
    </row>
    <row r="38" spans="1:17" ht="35.049999999999997" customHeight="1" x14ac:dyDescent="0.3">
      <c r="A38" s="401" t="s">
        <v>807</v>
      </c>
      <c r="B38" s="17"/>
      <c r="C38" s="520"/>
      <c r="D38" s="501">
        <v>3.4929999999999999</v>
      </c>
      <c r="E38" s="502">
        <v>0.80800000000000005</v>
      </c>
      <c r="F38" s="503">
        <v>7.9000000000000001E-2</v>
      </c>
      <c r="G38" s="508">
        <v>459.77</v>
      </c>
      <c r="H38" s="508">
        <v>1.43</v>
      </c>
      <c r="I38" s="400">
        <v>2.35</v>
      </c>
      <c r="J38" s="499">
        <v>0.22700000000000001</v>
      </c>
      <c r="K38" s="408"/>
      <c r="L38" s="407"/>
      <c r="M38" s="407"/>
      <c r="N38" s="407"/>
      <c r="O38" s="407"/>
      <c r="P38" s="407"/>
      <c r="Q38" s="407"/>
    </row>
    <row r="39" spans="1:17" ht="35.049999999999997" customHeight="1" x14ac:dyDescent="0.3">
      <c r="A39" s="401" t="s">
        <v>808</v>
      </c>
      <c r="B39" s="17"/>
      <c r="C39" s="520"/>
      <c r="D39" s="501">
        <v>3.4929999999999999</v>
      </c>
      <c r="E39" s="502">
        <v>0.80800000000000005</v>
      </c>
      <c r="F39" s="503">
        <v>7.9000000000000001E-2</v>
      </c>
      <c r="G39" s="508">
        <v>722.99</v>
      </c>
      <c r="H39" s="508">
        <v>1.43</v>
      </c>
      <c r="I39" s="400">
        <v>2.35</v>
      </c>
      <c r="J39" s="499">
        <v>0.22700000000000001</v>
      </c>
      <c r="K39" s="408"/>
      <c r="L39" s="407"/>
      <c r="M39" s="407"/>
      <c r="N39" s="407"/>
      <c r="O39" s="407"/>
      <c r="P39" s="407"/>
      <c r="Q39" s="407"/>
    </row>
    <row r="40" spans="1:17" ht="35.049999999999997" customHeight="1" x14ac:dyDescent="0.3">
      <c r="A40" s="401" t="s">
        <v>809</v>
      </c>
      <c r="B40" s="17"/>
      <c r="C40" s="520"/>
      <c r="D40" s="501">
        <v>3.4929999999999999</v>
      </c>
      <c r="E40" s="502">
        <v>0.80800000000000005</v>
      </c>
      <c r="F40" s="503">
        <v>7.9000000000000001E-2</v>
      </c>
      <c r="G40" s="508">
        <v>1644.92</v>
      </c>
      <c r="H40" s="508">
        <v>1.43</v>
      </c>
      <c r="I40" s="400">
        <v>2.35</v>
      </c>
      <c r="J40" s="499">
        <v>0.22700000000000001</v>
      </c>
      <c r="K40" s="408"/>
      <c r="L40" s="407"/>
      <c r="M40" s="407"/>
      <c r="N40" s="407"/>
      <c r="O40" s="407"/>
      <c r="P40" s="407"/>
      <c r="Q40" s="407"/>
    </row>
    <row r="41" spans="1:17" ht="35.049999999999997" customHeight="1" x14ac:dyDescent="0.3">
      <c r="A41" s="401" t="s">
        <v>810</v>
      </c>
      <c r="B41" s="17"/>
      <c r="C41" s="520"/>
      <c r="D41" s="501">
        <v>4.46</v>
      </c>
      <c r="E41" s="502">
        <v>0.85799999999999998</v>
      </c>
      <c r="F41" s="503">
        <v>7.6999999999999999E-2</v>
      </c>
      <c r="G41" s="508">
        <v>6.2</v>
      </c>
      <c r="H41" s="508">
        <v>4.51</v>
      </c>
      <c r="I41" s="400">
        <v>6</v>
      </c>
      <c r="J41" s="499">
        <v>0.23899999999999999</v>
      </c>
      <c r="K41" s="408"/>
      <c r="L41" s="407"/>
      <c r="M41" s="407"/>
      <c r="N41" s="407"/>
      <c r="O41" s="407"/>
      <c r="P41" s="407"/>
      <c r="Q41" s="407"/>
    </row>
    <row r="42" spans="1:17" ht="35.049999999999997" customHeight="1" x14ac:dyDescent="0.3">
      <c r="A42" s="401" t="s">
        <v>811</v>
      </c>
      <c r="B42" s="17"/>
      <c r="C42" s="520"/>
      <c r="D42" s="501">
        <v>4.46</v>
      </c>
      <c r="E42" s="502">
        <v>0.85799999999999998</v>
      </c>
      <c r="F42" s="503">
        <v>7.6999999999999999E-2</v>
      </c>
      <c r="G42" s="508">
        <v>364.63</v>
      </c>
      <c r="H42" s="508">
        <v>4.51</v>
      </c>
      <c r="I42" s="400">
        <v>6</v>
      </c>
      <c r="J42" s="499">
        <v>0.23899999999999999</v>
      </c>
      <c r="K42" s="408"/>
      <c r="L42" s="407"/>
      <c r="M42" s="407"/>
      <c r="N42" s="407"/>
      <c r="O42" s="407"/>
      <c r="P42" s="407"/>
      <c r="Q42" s="407"/>
    </row>
    <row r="43" spans="1:17" ht="35.049999999999997" customHeight="1" x14ac:dyDescent="0.3">
      <c r="A43" s="401" t="s">
        <v>812</v>
      </c>
      <c r="B43" s="17"/>
      <c r="C43" s="520"/>
      <c r="D43" s="501">
        <v>4.46</v>
      </c>
      <c r="E43" s="502">
        <v>0.85799999999999998</v>
      </c>
      <c r="F43" s="503">
        <v>7.6999999999999999E-2</v>
      </c>
      <c r="G43" s="508">
        <v>733.15</v>
      </c>
      <c r="H43" s="508">
        <v>4.51</v>
      </c>
      <c r="I43" s="400">
        <v>6</v>
      </c>
      <c r="J43" s="499">
        <v>0.23899999999999999</v>
      </c>
      <c r="K43" s="408"/>
      <c r="L43" s="407"/>
      <c r="M43" s="407"/>
      <c r="N43" s="407"/>
      <c r="O43" s="407"/>
      <c r="P43" s="407"/>
      <c r="Q43" s="407"/>
    </row>
    <row r="44" spans="1:17" ht="35.049999999999997" customHeight="1" x14ac:dyDescent="0.3">
      <c r="A44" s="401" t="s">
        <v>813</v>
      </c>
      <c r="B44" s="17"/>
      <c r="C44" s="520"/>
      <c r="D44" s="501">
        <v>4.46</v>
      </c>
      <c r="E44" s="502">
        <v>0.85799999999999998</v>
      </c>
      <c r="F44" s="503">
        <v>7.6999999999999999E-2</v>
      </c>
      <c r="G44" s="508">
        <v>1159.26</v>
      </c>
      <c r="H44" s="508">
        <v>4.51</v>
      </c>
      <c r="I44" s="400">
        <v>6</v>
      </c>
      <c r="J44" s="499">
        <v>0.23899999999999999</v>
      </c>
      <c r="K44" s="408"/>
      <c r="L44" s="407"/>
      <c r="M44" s="407"/>
      <c r="N44" s="407"/>
      <c r="O44" s="407"/>
      <c r="P44" s="407"/>
      <c r="Q44" s="407"/>
    </row>
    <row r="45" spans="1:17" ht="35.049999999999997" customHeight="1" x14ac:dyDescent="0.3">
      <c r="A45" s="401" t="s">
        <v>814</v>
      </c>
      <c r="B45" s="17"/>
      <c r="C45" s="520"/>
      <c r="D45" s="501">
        <v>4.46</v>
      </c>
      <c r="E45" s="502">
        <v>0.85799999999999998</v>
      </c>
      <c r="F45" s="503">
        <v>7.6999999999999999E-2</v>
      </c>
      <c r="G45" s="508">
        <v>2651.72</v>
      </c>
      <c r="H45" s="508">
        <v>4.51</v>
      </c>
      <c r="I45" s="400">
        <v>6</v>
      </c>
      <c r="J45" s="499">
        <v>0.23899999999999999</v>
      </c>
      <c r="K45" s="408"/>
      <c r="L45" s="407"/>
      <c r="M45" s="407"/>
      <c r="N45" s="407"/>
      <c r="O45" s="407"/>
      <c r="P45" s="407"/>
      <c r="Q45" s="407"/>
    </row>
    <row r="46" spans="1:17" ht="35.049999999999997" customHeight="1" x14ac:dyDescent="0.3">
      <c r="A46" s="401" t="s">
        <v>815</v>
      </c>
      <c r="B46" s="17"/>
      <c r="C46" s="520"/>
      <c r="D46" s="501">
        <v>3.6480000000000001</v>
      </c>
      <c r="E46" s="502">
        <v>0.625</v>
      </c>
      <c r="F46" s="503">
        <v>0.05</v>
      </c>
      <c r="G46" s="508">
        <v>103.09</v>
      </c>
      <c r="H46" s="508">
        <v>4.0999999999999996</v>
      </c>
      <c r="I46" s="400">
        <v>6.31</v>
      </c>
      <c r="J46" s="499">
        <v>0.16900000000000001</v>
      </c>
      <c r="K46" s="408"/>
      <c r="L46" s="407"/>
      <c r="M46" s="407"/>
      <c r="N46" s="407"/>
      <c r="O46" s="407"/>
      <c r="P46" s="407"/>
      <c r="Q46" s="407"/>
    </row>
    <row r="47" spans="1:17" ht="35.049999999999997" customHeight="1" x14ac:dyDescent="0.3">
      <c r="A47" s="401" t="s">
        <v>816</v>
      </c>
      <c r="B47" s="17"/>
      <c r="C47" s="520"/>
      <c r="D47" s="501">
        <v>3.6480000000000001</v>
      </c>
      <c r="E47" s="502">
        <v>0.625</v>
      </c>
      <c r="F47" s="503">
        <v>0.05</v>
      </c>
      <c r="G47" s="508">
        <v>2233.2199999999998</v>
      </c>
      <c r="H47" s="508">
        <v>4.0999999999999996</v>
      </c>
      <c r="I47" s="400">
        <v>6.31</v>
      </c>
      <c r="J47" s="499">
        <v>0.16900000000000001</v>
      </c>
      <c r="K47" s="408"/>
      <c r="L47" s="407"/>
      <c r="M47" s="407"/>
      <c r="N47" s="407"/>
      <c r="O47" s="407"/>
      <c r="P47" s="407"/>
      <c r="Q47" s="407"/>
    </row>
    <row r="48" spans="1:17" ht="35.049999999999997" customHeight="1" x14ac:dyDescent="0.3">
      <c r="A48" s="401" t="s">
        <v>817</v>
      </c>
      <c r="B48" s="17"/>
      <c r="C48" s="520"/>
      <c r="D48" s="501">
        <v>3.6480000000000001</v>
      </c>
      <c r="E48" s="502">
        <v>0.625</v>
      </c>
      <c r="F48" s="503">
        <v>0.05</v>
      </c>
      <c r="G48" s="508">
        <v>7024.48</v>
      </c>
      <c r="H48" s="508">
        <v>4.0999999999999996</v>
      </c>
      <c r="I48" s="400">
        <v>6.31</v>
      </c>
      <c r="J48" s="499">
        <v>0.16900000000000001</v>
      </c>
      <c r="K48" s="408"/>
      <c r="L48" s="407"/>
      <c r="M48" s="407"/>
      <c r="N48" s="407"/>
      <c r="O48" s="407"/>
      <c r="P48" s="407"/>
      <c r="Q48" s="407"/>
    </row>
    <row r="49" spans="1:17" ht="35.049999999999997" customHeight="1" x14ac:dyDescent="0.3">
      <c r="A49" s="401" t="s">
        <v>818</v>
      </c>
      <c r="B49" s="17"/>
      <c r="C49" s="520"/>
      <c r="D49" s="501">
        <v>3.6480000000000001</v>
      </c>
      <c r="E49" s="502">
        <v>0.625</v>
      </c>
      <c r="F49" s="503">
        <v>0.05</v>
      </c>
      <c r="G49" s="508">
        <v>15231.81</v>
      </c>
      <c r="H49" s="508">
        <v>4.0999999999999996</v>
      </c>
      <c r="I49" s="400">
        <v>6.31</v>
      </c>
      <c r="J49" s="499">
        <v>0.16900000000000001</v>
      </c>
      <c r="K49" s="408"/>
      <c r="L49" s="407"/>
      <c r="M49" s="407"/>
      <c r="N49" s="407"/>
      <c r="O49" s="407"/>
      <c r="P49" s="407"/>
      <c r="Q49" s="407"/>
    </row>
    <row r="50" spans="1:17" ht="35.049999999999997" customHeight="1" x14ac:dyDescent="0.3">
      <c r="A50" s="401" t="s">
        <v>819</v>
      </c>
      <c r="B50" s="17"/>
      <c r="C50" s="520"/>
      <c r="D50" s="501">
        <v>3.6480000000000001</v>
      </c>
      <c r="E50" s="502">
        <v>0.625</v>
      </c>
      <c r="F50" s="503">
        <v>0.05</v>
      </c>
      <c r="G50" s="508">
        <v>29736.95</v>
      </c>
      <c r="H50" s="508">
        <v>4.0999999999999996</v>
      </c>
      <c r="I50" s="400">
        <v>6.31</v>
      </c>
      <c r="J50" s="499">
        <v>0.16900000000000001</v>
      </c>
      <c r="K50" s="408"/>
      <c r="L50" s="407"/>
      <c r="M50" s="407"/>
      <c r="N50" s="407"/>
      <c r="O50" s="407"/>
      <c r="P50" s="407"/>
      <c r="Q50" s="407"/>
    </row>
    <row r="51" spans="1:17" ht="35.049999999999997" customHeight="1" x14ac:dyDescent="0.3">
      <c r="A51" s="401" t="s">
        <v>585</v>
      </c>
      <c r="B51" s="17"/>
      <c r="C51" s="520"/>
      <c r="D51" s="504">
        <v>8.8539999999999992</v>
      </c>
      <c r="E51" s="505">
        <v>2.0609999999999999</v>
      </c>
      <c r="F51" s="503">
        <v>1.131</v>
      </c>
      <c r="G51" s="509">
        <v>0</v>
      </c>
      <c r="H51" s="509">
        <v>0</v>
      </c>
      <c r="I51" s="399">
        <v>0</v>
      </c>
      <c r="J51" s="500">
        <v>0</v>
      </c>
      <c r="K51" s="408"/>
      <c r="L51" s="407"/>
      <c r="M51" s="407"/>
      <c r="N51" s="407"/>
      <c r="O51" s="407"/>
      <c r="P51" s="407"/>
      <c r="Q51" s="407"/>
    </row>
    <row r="52" spans="1:17" ht="35.049999999999997" customHeight="1" x14ac:dyDescent="0.3">
      <c r="A52" s="401" t="s">
        <v>688</v>
      </c>
      <c r="B52" s="17"/>
      <c r="C52" s="520"/>
      <c r="D52" s="501">
        <v>-7.0460000000000003</v>
      </c>
      <c r="E52" s="502">
        <v>-1.756</v>
      </c>
      <c r="F52" s="503">
        <v>-0.17499999999999999</v>
      </c>
      <c r="G52" s="508">
        <v>0</v>
      </c>
      <c r="H52" s="509">
        <v>0</v>
      </c>
      <c r="I52" s="399">
        <v>0</v>
      </c>
      <c r="J52" s="500">
        <v>0</v>
      </c>
      <c r="K52" s="408"/>
      <c r="L52" s="407"/>
      <c r="M52" s="407"/>
      <c r="N52" s="407"/>
      <c r="O52" s="407"/>
      <c r="P52" s="407"/>
      <c r="Q52" s="407"/>
    </row>
    <row r="53" spans="1:17" ht="35.049999999999997" customHeight="1" x14ac:dyDescent="0.3">
      <c r="A53" s="401" t="s">
        <v>689</v>
      </c>
      <c r="B53" s="17"/>
      <c r="C53" s="520"/>
      <c r="D53" s="501">
        <v>-6.319</v>
      </c>
      <c r="E53" s="502">
        <v>-1.512</v>
      </c>
      <c r="F53" s="503">
        <v>-0.14899999999999999</v>
      </c>
      <c r="G53" s="508">
        <v>0</v>
      </c>
      <c r="H53" s="509">
        <v>0</v>
      </c>
      <c r="I53" s="399">
        <v>0</v>
      </c>
      <c r="J53" s="500">
        <v>0</v>
      </c>
      <c r="K53" s="408"/>
      <c r="L53" s="407"/>
      <c r="M53" s="407"/>
      <c r="N53" s="407"/>
      <c r="O53" s="407"/>
      <c r="P53" s="407"/>
      <c r="Q53" s="407"/>
    </row>
    <row r="54" spans="1:17" ht="35.049999999999997" customHeight="1" x14ac:dyDescent="0.3">
      <c r="A54" s="401" t="s">
        <v>599</v>
      </c>
      <c r="B54" s="17"/>
      <c r="C54" s="520"/>
      <c r="D54" s="501">
        <v>-7.0460000000000003</v>
      </c>
      <c r="E54" s="502">
        <v>-1.756</v>
      </c>
      <c r="F54" s="503">
        <v>-0.17499999999999999</v>
      </c>
      <c r="G54" s="508">
        <v>0</v>
      </c>
      <c r="H54" s="509">
        <v>0</v>
      </c>
      <c r="I54" s="399">
        <v>0</v>
      </c>
      <c r="J54" s="499">
        <v>0.42699999999999999</v>
      </c>
      <c r="L54" s="407"/>
      <c r="M54" s="407"/>
      <c r="N54" s="407"/>
      <c r="O54" s="407"/>
      <c r="P54" s="407"/>
      <c r="Q54" s="407"/>
    </row>
    <row r="55" spans="1:17" ht="35.049999999999997" customHeight="1" x14ac:dyDescent="0.3">
      <c r="A55" s="401" t="s">
        <v>690</v>
      </c>
      <c r="B55" s="17"/>
      <c r="C55" s="520"/>
      <c r="D55" s="501">
        <v>-6.319</v>
      </c>
      <c r="E55" s="502">
        <v>-1.512</v>
      </c>
      <c r="F55" s="503">
        <v>-0.14899999999999999</v>
      </c>
      <c r="G55" s="508">
        <v>0</v>
      </c>
      <c r="H55" s="509">
        <v>0</v>
      </c>
      <c r="I55" s="399">
        <v>0</v>
      </c>
      <c r="J55" s="499">
        <v>0.39</v>
      </c>
      <c r="L55" s="407"/>
      <c r="M55" s="407"/>
      <c r="N55" s="407"/>
      <c r="O55" s="407"/>
      <c r="P55" s="407"/>
      <c r="Q55" s="407"/>
    </row>
    <row r="56" spans="1:17" ht="35.049999999999997" customHeight="1" x14ac:dyDescent="0.3">
      <c r="A56" s="401" t="s">
        <v>600</v>
      </c>
      <c r="B56" s="17"/>
      <c r="C56" s="520"/>
      <c r="D56" s="501">
        <v>-4.6360000000000001</v>
      </c>
      <c r="E56" s="502">
        <v>-0.86499999999999999</v>
      </c>
      <c r="F56" s="503">
        <v>-7.4999999999999997E-2</v>
      </c>
      <c r="G56" s="508">
        <v>0</v>
      </c>
      <c r="H56" s="509">
        <v>0</v>
      </c>
      <c r="I56" s="399">
        <v>0</v>
      </c>
      <c r="J56" s="499">
        <v>0.29699999999999999</v>
      </c>
      <c r="L56" s="407"/>
      <c r="M56" s="407"/>
      <c r="N56" s="407"/>
      <c r="O56" s="407"/>
      <c r="P56" s="407"/>
      <c r="Q56" s="407"/>
    </row>
    <row r="57" spans="1:17" ht="35.049999999999997" customHeight="1" x14ac:dyDescent="0.3">
      <c r="A57" s="398" t="s">
        <v>820</v>
      </c>
      <c r="B57" s="17"/>
      <c r="C57" s="520"/>
      <c r="D57" s="501">
        <v>2.86</v>
      </c>
      <c r="E57" s="502">
        <v>0.71299999999999997</v>
      </c>
      <c r="F57" s="503">
        <v>7.0999999999999994E-2</v>
      </c>
      <c r="G57" s="508">
        <v>7.05</v>
      </c>
      <c r="H57" s="509">
        <v>0</v>
      </c>
      <c r="I57" s="399">
        <v>0</v>
      </c>
      <c r="J57" s="500">
        <v>0</v>
      </c>
      <c r="L57" s="407"/>
      <c r="M57" s="407"/>
      <c r="N57" s="407"/>
      <c r="O57" s="407"/>
      <c r="P57" s="407"/>
      <c r="Q57" s="407"/>
    </row>
    <row r="58" spans="1:17" ht="35.049999999999997" customHeight="1" x14ac:dyDescent="0.3">
      <c r="A58" s="398" t="s">
        <v>821</v>
      </c>
      <c r="B58" s="17"/>
      <c r="C58" s="520"/>
      <c r="D58" s="501">
        <v>2.86</v>
      </c>
      <c r="E58" s="502">
        <v>0.71299999999999997</v>
      </c>
      <c r="F58" s="503">
        <v>7.0999999999999994E-2</v>
      </c>
      <c r="G58" s="509">
        <v>0</v>
      </c>
      <c r="H58" s="509">
        <v>0</v>
      </c>
      <c r="I58" s="399">
        <v>0</v>
      </c>
      <c r="J58" s="500">
        <v>0</v>
      </c>
      <c r="L58" s="407"/>
      <c r="M58" s="407"/>
      <c r="N58" s="407"/>
      <c r="O58" s="407"/>
      <c r="P58" s="407"/>
      <c r="Q58" s="407"/>
    </row>
    <row r="59" spans="1:17" ht="35.049999999999997" customHeight="1" x14ac:dyDescent="0.3">
      <c r="A59" s="398" t="s">
        <v>822</v>
      </c>
      <c r="B59" s="17"/>
      <c r="C59" s="520"/>
      <c r="D59" s="501">
        <v>3.5310000000000001</v>
      </c>
      <c r="E59" s="502">
        <v>0.88</v>
      </c>
      <c r="F59" s="503">
        <v>8.7999999999999995E-2</v>
      </c>
      <c r="G59" s="508">
        <v>2</v>
      </c>
      <c r="H59" s="509">
        <v>0</v>
      </c>
      <c r="I59" s="399">
        <v>0</v>
      </c>
      <c r="J59" s="500">
        <v>0</v>
      </c>
      <c r="L59" s="407"/>
      <c r="M59" s="407"/>
      <c r="N59" s="407"/>
      <c r="O59" s="407"/>
      <c r="P59" s="407"/>
      <c r="Q59" s="407"/>
    </row>
    <row r="60" spans="1:17" ht="35.049999999999997" customHeight="1" x14ac:dyDescent="0.3">
      <c r="A60" s="398" t="s">
        <v>823</v>
      </c>
      <c r="B60" s="17"/>
      <c r="C60" s="520"/>
      <c r="D60" s="501">
        <v>3.5310000000000001</v>
      </c>
      <c r="E60" s="502">
        <v>0.88</v>
      </c>
      <c r="F60" s="503">
        <v>8.7999999999999995E-2</v>
      </c>
      <c r="G60" s="508">
        <v>7.37</v>
      </c>
      <c r="H60" s="509">
        <v>0</v>
      </c>
      <c r="I60" s="399">
        <v>0</v>
      </c>
      <c r="J60" s="500">
        <v>0</v>
      </c>
      <c r="L60" s="407"/>
      <c r="M60" s="407"/>
      <c r="N60" s="407"/>
      <c r="O60" s="407"/>
      <c r="P60" s="407"/>
      <c r="Q60" s="407"/>
    </row>
    <row r="61" spans="1:17" ht="35.049999999999997" customHeight="1" x14ac:dyDescent="0.3">
      <c r="A61" s="398" t="s">
        <v>824</v>
      </c>
      <c r="B61" s="17"/>
      <c r="C61" s="520"/>
      <c r="D61" s="501">
        <v>3.5310000000000001</v>
      </c>
      <c r="E61" s="502">
        <v>0.88</v>
      </c>
      <c r="F61" s="503">
        <v>8.7999999999999995E-2</v>
      </c>
      <c r="G61" s="508">
        <v>15.56</v>
      </c>
      <c r="H61" s="509">
        <v>0</v>
      </c>
      <c r="I61" s="399">
        <v>0</v>
      </c>
      <c r="J61" s="500">
        <v>0</v>
      </c>
      <c r="L61" s="407"/>
      <c r="M61" s="407"/>
      <c r="N61" s="407"/>
      <c r="O61" s="407"/>
      <c r="P61" s="407"/>
      <c r="Q61" s="407"/>
    </row>
    <row r="62" spans="1:17" ht="35.049999999999997" customHeight="1" x14ac:dyDescent="0.3">
      <c r="A62" s="398" t="s">
        <v>825</v>
      </c>
      <c r="B62" s="17"/>
      <c r="C62" s="520"/>
      <c r="D62" s="501">
        <v>3.5310000000000001</v>
      </c>
      <c r="E62" s="502">
        <v>0.88</v>
      </c>
      <c r="F62" s="503">
        <v>8.7999999999999995E-2</v>
      </c>
      <c r="G62" s="508">
        <v>32.200000000000003</v>
      </c>
      <c r="H62" s="509">
        <v>0</v>
      </c>
      <c r="I62" s="399">
        <v>0</v>
      </c>
      <c r="J62" s="500">
        <v>0</v>
      </c>
      <c r="L62" s="407"/>
      <c r="M62" s="407"/>
      <c r="N62" s="407"/>
      <c r="O62" s="407"/>
      <c r="P62" s="407"/>
      <c r="Q62" s="407"/>
    </row>
    <row r="63" spans="1:17" ht="35.049999999999997" customHeight="1" x14ac:dyDescent="0.3">
      <c r="A63" s="398" t="s">
        <v>826</v>
      </c>
      <c r="B63" s="17"/>
      <c r="C63" s="520"/>
      <c r="D63" s="501">
        <v>3.5310000000000001</v>
      </c>
      <c r="E63" s="502">
        <v>0.88</v>
      </c>
      <c r="F63" s="503">
        <v>8.7999999999999995E-2</v>
      </c>
      <c r="G63" s="508">
        <v>102.68</v>
      </c>
      <c r="H63" s="509">
        <v>0</v>
      </c>
      <c r="I63" s="399">
        <v>0</v>
      </c>
      <c r="J63" s="500">
        <v>0</v>
      </c>
      <c r="L63" s="407"/>
      <c r="M63" s="407"/>
      <c r="N63" s="407"/>
      <c r="O63" s="407"/>
      <c r="P63" s="407"/>
      <c r="Q63" s="407"/>
    </row>
    <row r="64" spans="1:17" ht="35.049999999999997" customHeight="1" x14ac:dyDescent="0.3">
      <c r="A64" s="398" t="s">
        <v>586</v>
      </c>
      <c r="B64" s="17"/>
      <c r="C64" s="520"/>
      <c r="D64" s="501">
        <v>3.5310000000000001</v>
      </c>
      <c r="E64" s="502">
        <v>0.88</v>
      </c>
      <c r="F64" s="503">
        <v>8.7999999999999995E-2</v>
      </c>
      <c r="G64" s="509">
        <v>0</v>
      </c>
      <c r="H64" s="509">
        <v>0</v>
      </c>
      <c r="I64" s="399">
        <v>0</v>
      </c>
      <c r="J64" s="500">
        <v>0</v>
      </c>
      <c r="L64" s="407"/>
      <c r="M64" s="407"/>
      <c r="N64" s="407"/>
      <c r="O64" s="407"/>
      <c r="P64" s="407"/>
      <c r="Q64" s="407"/>
    </row>
    <row r="65" spans="1:17" ht="35.049999999999997" customHeight="1" x14ac:dyDescent="0.3">
      <c r="A65" s="398" t="s">
        <v>827</v>
      </c>
      <c r="B65" s="17"/>
      <c r="C65" s="520"/>
      <c r="D65" s="501">
        <v>2.423</v>
      </c>
      <c r="E65" s="502">
        <v>0.56100000000000005</v>
      </c>
      <c r="F65" s="503">
        <v>5.5E-2</v>
      </c>
      <c r="G65" s="508">
        <v>7.49</v>
      </c>
      <c r="H65" s="508">
        <v>0.99</v>
      </c>
      <c r="I65" s="400">
        <v>1.63</v>
      </c>
      <c r="J65" s="499">
        <v>0.157</v>
      </c>
      <c r="L65" s="407"/>
      <c r="M65" s="407"/>
      <c r="N65" s="407"/>
      <c r="O65" s="407"/>
      <c r="P65" s="407"/>
      <c r="Q65" s="407"/>
    </row>
    <row r="66" spans="1:17" ht="35.049999999999997" customHeight="1" x14ac:dyDescent="0.3">
      <c r="A66" s="398" t="s">
        <v>828</v>
      </c>
      <c r="B66" s="17"/>
      <c r="C66" s="520"/>
      <c r="D66" s="501">
        <v>2.423</v>
      </c>
      <c r="E66" s="502">
        <v>0.56100000000000005</v>
      </c>
      <c r="F66" s="503">
        <v>5.5E-2</v>
      </c>
      <c r="G66" s="508">
        <v>161.09</v>
      </c>
      <c r="H66" s="508">
        <v>0.99</v>
      </c>
      <c r="I66" s="400">
        <v>1.63</v>
      </c>
      <c r="J66" s="499">
        <v>0.157</v>
      </c>
      <c r="L66" s="407"/>
      <c r="M66" s="407"/>
      <c r="N66" s="407"/>
      <c r="O66" s="407"/>
      <c r="P66" s="407"/>
      <c r="Q66" s="407"/>
    </row>
    <row r="67" spans="1:17" ht="35.049999999999997" customHeight="1" x14ac:dyDescent="0.3">
      <c r="A67" s="398" t="s">
        <v>829</v>
      </c>
      <c r="B67" s="17"/>
      <c r="C67" s="520"/>
      <c r="D67" s="501">
        <v>2.423</v>
      </c>
      <c r="E67" s="502">
        <v>0.56100000000000005</v>
      </c>
      <c r="F67" s="503">
        <v>5.5E-2</v>
      </c>
      <c r="G67" s="508">
        <v>319.01</v>
      </c>
      <c r="H67" s="508">
        <v>0.99</v>
      </c>
      <c r="I67" s="400">
        <v>1.63</v>
      </c>
      <c r="J67" s="499">
        <v>0.157</v>
      </c>
      <c r="L67" s="407"/>
      <c r="M67" s="407"/>
      <c r="N67" s="407"/>
      <c r="O67" s="407"/>
      <c r="P67" s="407"/>
      <c r="Q67" s="407"/>
    </row>
    <row r="68" spans="1:17" ht="35.049999999999997" customHeight="1" x14ac:dyDescent="0.3">
      <c r="A68" s="398" t="s">
        <v>830</v>
      </c>
      <c r="B68" s="17"/>
      <c r="C68" s="520"/>
      <c r="D68" s="501">
        <v>2.423</v>
      </c>
      <c r="E68" s="502">
        <v>0.56100000000000005</v>
      </c>
      <c r="F68" s="503">
        <v>5.5E-2</v>
      </c>
      <c r="G68" s="508">
        <v>501.62</v>
      </c>
      <c r="H68" s="508">
        <v>0.99</v>
      </c>
      <c r="I68" s="400">
        <v>1.63</v>
      </c>
      <c r="J68" s="499">
        <v>0.157</v>
      </c>
      <c r="L68" s="407"/>
      <c r="M68" s="407"/>
      <c r="N68" s="407"/>
      <c r="O68" s="407"/>
      <c r="P68" s="407"/>
      <c r="Q68" s="407"/>
    </row>
    <row r="69" spans="1:17" ht="35.049999999999997" customHeight="1" x14ac:dyDescent="0.3">
      <c r="A69" s="398" t="s">
        <v>831</v>
      </c>
      <c r="B69" s="17"/>
      <c r="C69" s="520"/>
      <c r="D69" s="501">
        <v>2.423</v>
      </c>
      <c r="E69" s="502">
        <v>0.56100000000000005</v>
      </c>
      <c r="F69" s="503">
        <v>5.5E-2</v>
      </c>
      <c r="G69" s="508">
        <v>1141.19</v>
      </c>
      <c r="H69" s="508">
        <v>0.99</v>
      </c>
      <c r="I69" s="400">
        <v>1.63</v>
      </c>
      <c r="J69" s="499">
        <v>0.157</v>
      </c>
      <c r="L69" s="407"/>
      <c r="M69" s="407"/>
      <c r="N69" s="407"/>
      <c r="O69" s="407"/>
      <c r="P69" s="407"/>
      <c r="Q69" s="407"/>
    </row>
    <row r="70" spans="1:17" ht="35.049999999999997" customHeight="1" x14ac:dyDescent="0.3">
      <c r="A70" s="398" t="s">
        <v>832</v>
      </c>
      <c r="B70" s="17"/>
      <c r="C70" s="520"/>
      <c r="D70" s="501">
        <v>2.9929999999999999</v>
      </c>
      <c r="E70" s="502">
        <v>0.57499999999999996</v>
      </c>
      <c r="F70" s="503">
        <v>5.1999999999999998E-2</v>
      </c>
      <c r="G70" s="508">
        <v>4.22</v>
      </c>
      <c r="H70" s="508">
        <v>3.03</v>
      </c>
      <c r="I70" s="400">
        <v>4.03</v>
      </c>
      <c r="J70" s="499">
        <v>0.161</v>
      </c>
      <c r="L70" s="407"/>
      <c r="M70" s="407"/>
      <c r="N70" s="407"/>
      <c r="O70" s="407"/>
      <c r="P70" s="407"/>
      <c r="Q70" s="407"/>
    </row>
    <row r="71" spans="1:17" ht="35.049999999999997" customHeight="1" x14ac:dyDescent="0.3">
      <c r="A71" s="398" t="s">
        <v>833</v>
      </c>
      <c r="B71" s="17"/>
      <c r="C71" s="520"/>
      <c r="D71" s="501">
        <v>2.9929999999999999</v>
      </c>
      <c r="E71" s="502">
        <v>0.57499999999999996</v>
      </c>
      <c r="F71" s="503">
        <v>5.1999999999999998E-2</v>
      </c>
      <c r="G71" s="508">
        <v>244.76</v>
      </c>
      <c r="H71" s="508">
        <v>3.03</v>
      </c>
      <c r="I71" s="400">
        <v>4.03</v>
      </c>
      <c r="J71" s="499">
        <v>0.161</v>
      </c>
      <c r="L71" s="407"/>
      <c r="M71" s="407"/>
      <c r="N71" s="407"/>
      <c r="O71" s="407"/>
      <c r="P71" s="407"/>
      <c r="Q71" s="407"/>
    </row>
    <row r="72" spans="1:17" ht="35.049999999999997" customHeight="1" x14ac:dyDescent="0.3">
      <c r="A72" s="398" t="s">
        <v>834</v>
      </c>
      <c r="B72" s="17"/>
      <c r="C72" s="520"/>
      <c r="D72" s="501">
        <v>2.9929999999999999</v>
      </c>
      <c r="E72" s="502">
        <v>0.57499999999999996</v>
      </c>
      <c r="F72" s="503">
        <v>5.1999999999999998E-2</v>
      </c>
      <c r="G72" s="508">
        <v>492.07</v>
      </c>
      <c r="H72" s="508">
        <v>3.03</v>
      </c>
      <c r="I72" s="400">
        <v>4.03</v>
      </c>
      <c r="J72" s="499">
        <v>0.161</v>
      </c>
      <c r="L72" s="407"/>
      <c r="M72" s="407"/>
      <c r="N72" s="407"/>
      <c r="O72" s="407"/>
      <c r="P72" s="407"/>
      <c r="Q72" s="407"/>
    </row>
    <row r="73" spans="1:17" ht="35.049999999999997" customHeight="1" x14ac:dyDescent="0.3">
      <c r="A73" s="398" t="s">
        <v>835</v>
      </c>
      <c r="B73" s="17"/>
      <c r="C73" s="520"/>
      <c r="D73" s="501">
        <v>2.9929999999999999</v>
      </c>
      <c r="E73" s="502">
        <v>0.57499999999999996</v>
      </c>
      <c r="F73" s="503">
        <v>5.1999999999999998E-2</v>
      </c>
      <c r="G73" s="508">
        <v>778.03</v>
      </c>
      <c r="H73" s="508">
        <v>3.03</v>
      </c>
      <c r="I73" s="400">
        <v>4.03</v>
      </c>
      <c r="J73" s="499">
        <v>0.161</v>
      </c>
      <c r="L73" s="407"/>
      <c r="M73" s="407"/>
      <c r="N73" s="407"/>
      <c r="O73" s="407"/>
      <c r="P73" s="407"/>
      <c r="Q73" s="407"/>
    </row>
    <row r="74" spans="1:17" ht="35.049999999999997" customHeight="1" x14ac:dyDescent="0.3">
      <c r="A74" s="398" t="s">
        <v>836</v>
      </c>
      <c r="B74" s="17"/>
      <c r="C74" s="520"/>
      <c r="D74" s="501">
        <v>2.9929999999999999</v>
      </c>
      <c r="E74" s="502">
        <v>0.57499999999999996</v>
      </c>
      <c r="F74" s="503">
        <v>5.1999999999999998E-2</v>
      </c>
      <c r="G74" s="508">
        <v>1779.6</v>
      </c>
      <c r="H74" s="508">
        <v>3.03</v>
      </c>
      <c r="I74" s="400">
        <v>4.03</v>
      </c>
      <c r="J74" s="499">
        <v>0.161</v>
      </c>
      <c r="L74" s="407"/>
      <c r="M74" s="407"/>
      <c r="N74" s="407"/>
      <c r="O74" s="407"/>
      <c r="P74" s="407"/>
      <c r="Q74" s="407"/>
    </row>
    <row r="75" spans="1:17" ht="35.049999999999997" customHeight="1" x14ac:dyDescent="0.3">
      <c r="A75" s="398" t="s">
        <v>837</v>
      </c>
      <c r="B75" s="17"/>
      <c r="C75" s="520"/>
      <c r="D75" s="501">
        <v>2.423</v>
      </c>
      <c r="E75" s="502">
        <v>0.41499999999999998</v>
      </c>
      <c r="F75" s="503">
        <v>3.3000000000000002E-2</v>
      </c>
      <c r="G75" s="508">
        <v>68.52</v>
      </c>
      <c r="H75" s="508">
        <v>2.73</v>
      </c>
      <c r="I75" s="400">
        <v>4.1900000000000004</v>
      </c>
      <c r="J75" s="499">
        <v>0.112</v>
      </c>
      <c r="L75" s="407"/>
      <c r="M75" s="407"/>
      <c r="N75" s="407"/>
      <c r="O75" s="407"/>
      <c r="P75" s="407"/>
      <c r="Q75" s="407"/>
    </row>
    <row r="76" spans="1:17" ht="35.049999999999997" customHeight="1" x14ac:dyDescent="0.3">
      <c r="A76" s="398" t="s">
        <v>838</v>
      </c>
      <c r="B76" s="17"/>
      <c r="C76" s="520"/>
      <c r="D76" s="501">
        <v>2.423</v>
      </c>
      <c r="E76" s="502">
        <v>0.41499999999999998</v>
      </c>
      <c r="F76" s="503">
        <v>3.3000000000000002E-2</v>
      </c>
      <c r="G76" s="508">
        <v>1483.06</v>
      </c>
      <c r="H76" s="508">
        <v>2.73</v>
      </c>
      <c r="I76" s="400">
        <v>4.1900000000000004</v>
      </c>
      <c r="J76" s="499">
        <v>0.112</v>
      </c>
      <c r="L76" s="407"/>
      <c r="M76" s="407"/>
      <c r="N76" s="407"/>
      <c r="O76" s="407"/>
      <c r="P76" s="407"/>
      <c r="Q76" s="407"/>
    </row>
    <row r="77" spans="1:17" ht="35.049999999999997" customHeight="1" x14ac:dyDescent="0.3">
      <c r="A77" s="398" t="s">
        <v>839</v>
      </c>
      <c r="B77" s="17"/>
      <c r="C77" s="520"/>
      <c r="D77" s="501">
        <v>2.423</v>
      </c>
      <c r="E77" s="502">
        <v>0.41499999999999998</v>
      </c>
      <c r="F77" s="503">
        <v>3.3000000000000002E-2</v>
      </c>
      <c r="G77" s="508">
        <v>4664.76</v>
      </c>
      <c r="H77" s="508">
        <v>2.73</v>
      </c>
      <c r="I77" s="400">
        <v>4.1900000000000004</v>
      </c>
      <c r="J77" s="499">
        <v>0.112</v>
      </c>
      <c r="L77" s="407"/>
      <c r="M77" s="407"/>
      <c r="N77" s="407"/>
      <c r="O77" s="407"/>
      <c r="P77" s="407"/>
      <c r="Q77" s="407"/>
    </row>
    <row r="78" spans="1:17" ht="35.049999999999997" customHeight="1" x14ac:dyDescent="0.3">
      <c r="A78" s="398" t="s">
        <v>840</v>
      </c>
      <c r="B78" s="17"/>
      <c r="C78" s="520"/>
      <c r="D78" s="501">
        <v>2.423</v>
      </c>
      <c r="E78" s="502">
        <v>0.41499999999999998</v>
      </c>
      <c r="F78" s="503">
        <v>3.3000000000000002E-2</v>
      </c>
      <c r="G78" s="508">
        <v>10114.94</v>
      </c>
      <c r="H78" s="508">
        <v>2.73</v>
      </c>
      <c r="I78" s="400">
        <v>4.1900000000000004</v>
      </c>
      <c r="J78" s="499">
        <v>0.112</v>
      </c>
      <c r="L78" s="407"/>
      <c r="M78" s="407"/>
      <c r="N78" s="407"/>
      <c r="O78" s="407"/>
      <c r="P78" s="407"/>
      <c r="Q78" s="407"/>
    </row>
    <row r="79" spans="1:17" ht="35.049999999999997" customHeight="1" x14ac:dyDescent="0.3">
      <c r="A79" s="398" t="s">
        <v>841</v>
      </c>
      <c r="B79" s="17"/>
      <c r="C79" s="520"/>
      <c r="D79" s="501">
        <v>2.423</v>
      </c>
      <c r="E79" s="502">
        <v>0.41499999999999998</v>
      </c>
      <c r="F79" s="503">
        <v>3.3000000000000002E-2</v>
      </c>
      <c r="G79" s="508">
        <v>19747.259999999998</v>
      </c>
      <c r="H79" s="508">
        <v>2.73</v>
      </c>
      <c r="I79" s="400">
        <v>4.1900000000000004</v>
      </c>
      <c r="J79" s="499">
        <v>0.112</v>
      </c>
      <c r="L79" s="407"/>
      <c r="M79" s="407"/>
      <c r="N79" s="407"/>
      <c r="O79" s="407"/>
      <c r="P79" s="407"/>
      <c r="Q79" s="407"/>
    </row>
    <row r="80" spans="1:17" ht="35.049999999999997" customHeight="1" x14ac:dyDescent="0.3">
      <c r="A80" s="398" t="s">
        <v>587</v>
      </c>
      <c r="B80" s="17"/>
      <c r="C80" s="520"/>
      <c r="D80" s="504">
        <v>6.1420000000000003</v>
      </c>
      <c r="E80" s="505">
        <v>1.43</v>
      </c>
      <c r="F80" s="503">
        <v>0.78400000000000003</v>
      </c>
      <c r="G80" s="509">
        <v>0</v>
      </c>
      <c r="H80" s="509">
        <v>0</v>
      </c>
      <c r="I80" s="399">
        <v>0</v>
      </c>
      <c r="J80" s="500">
        <v>0</v>
      </c>
      <c r="L80" s="407"/>
      <c r="M80" s="407"/>
      <c r="N80" s="407"/>
      <c r="O80" s="407"/>
      <c r="P80" s="407"/>
      <c r="Q80" s="407"/>
    </row>
    <row r="81" spans="1:17" ht="35.049999999999997" customHeight="1" x14ac:dyDescent="0.3">
      <c r="A81" s="398" t="s">
        <v>691</v>
      </c>
      <c r="B81" s="17"/>
      <c r="C81" s="520"/>
      <c r="D81" s="501">
        <v>-3.4239999999999999</v>
      </c>
      <c r="E81" s="502">
        <v>-0.85399999999999998</v>
      </c>
      <c r="F81" s="503">
        <v>-8.5000000000000006E-2</v>
      </c>
      <c r="G81" s="508">
        <v>0</v>
      </c>
      <c r="H81" s="509">
        <v>0</v>
      </c>
      <c r="I81" s="399">
        <v>0</v>
      </c>
      <c r="J81" s="500">
        <v>0</v>
      </c>
      <c r="L81" s="407"/>
      <c r="M81" s="407"/>
      <c r="N81" s="407"/>
      <c r="O81" s="407"/>
      <c r="P81" s="407"/>
      <c r="Q81" s="407"/>
    </row>
    <row r="82" spans="1:17" ht="35.049999999999997" customHeight="1" x14ac:dyDescent="0.3">
      <c r="A82" s="398" t="s">
        <v>692</v>
      </c>
      <c r="B82" s="17"/>
      <c r="C82" s="520"/>
      <c r="D82" s="501">
        <v>-3.4350000000000001</v>
      </c>
      <c r="E82" s="502">
        <v>-0.82199999999999995</v>
      </c>
      <c r="F82" s="503">
        <v>-8.1000000000000003E-2</v>
      </c>
      <c r="G82" s="508">
        <v>0</v>
      </c>
      <c r="H82" s="509">
        <v>0</v>
      </c>
      <c r="I82" s="399">
        <v>0</v>
      </c>
      <c r="J82" s="500">
        <v>0</v>
      </c>
      <c r="L82" s="407"/>
      <c r="M82" s="407"/>
      <c r="N82" s="407"/>
      <c r="O82" s="407"/>
      <c r="P82" s="407"/>
      <c r="Q82" s="407"/>
    </row>
    <row r="83" spans="1:17" ht="35.049999999999997" customHeight="1" x14ac:dyDescent="0.3">
      <c r="A83" s="398" t="s">
        <v>693</v>
      </c>
      <c r="B83" s="17"/>
      <c r="C83" s="520"/>
      <c r="D83" s="501">
        <v>-3.4239999999999999</v>
      </c>
      <c r="E83" s="502">
        <v>-0.85399999999999998</v>
      </c>
      <c r="F83" s="503">
        <v>-8.5000000000000006E-2</v>
      </c>
      <c r="G83" s="508">
        <v>0</v>
      </c>
      <c r="H83" s="509">
        <v>0</v>
      </c>
      <c r="I83" s="399">
        <v>0</v>
      </c>
      <c r="J83" s="499">
        <v>0.20799999999999999</v>
      </c>
      <c r="L83" s="407"/>
      <c r="M83" s="407"/>
      <c r="N83" s="407"/>
      <c r="O83" s="407"/>
      <c r="P83" s="407"/>
      <c r="Q83" s="407"/>
    </row>
    <row r="84" spans="1:17" ht="35.049999999999997" customHeight="1" x14ac:dyDescent="0.3">
      <c r="A84" s="398" t="s">
        <v>694</v>
      </c>
      <c r="B84" s="17"/>
      <c r="C84" s="520"/>
      <c r="D84" s="501">
        <v>-3.4350000000000001</v>
      </c>
      <c r="E84" s="502">
        <v>-0.82199999999999995</v>
      </c>
      <c r="F84" s="503">
        <v>-8.1000000000000003E-2</v>
      </c>
      <c r="G84" s="508">
        <v>0</v>
      </c>
      <c r="H84" s="509">
        <v>0</v>
      </c>
      <c r="I84" s="399">
        <v>0</v>
      </c>
      <c r="J84" s="499">
        <v>0.21199999999999999</v>
      </c>
      <c r="L84" s="407"/>
      <c r="M84" s="407"/>
      <c r="N84" s="407"/>
      <c r="O84" s="407"/>
      <c r="P84" s="407"/>
      <c r="Q84" s="407"/>
    </row>
    <row r="85" spans="1:17" ht="35.049999999999997" customHeight="1" x14ac:dyDescent="0.3">
      <c r="A85" s="398" t="s">
        <v>695</v>
      </c>
      <c r="B85" s="17"/>
      <c r="C85" s="520"/>
      <c r="D85" s="501">
        <v>-4.6360000000000001</v>
      </c>
      <c r="E85" s="502">
        <v>-0.86499999999999999</v>
      </c>
      <c r="F85" s="503">
        <v>-7.4999999999999997E-2</v>
      </c>
      <c r="G85" s="508">
        <v>91.79</v>
      </c>
      <c r="H85" s="509">
        <v>0</v>
      </c>
      <c r="I85" s="399">
        <v>0</v>
      </c>
      <c r="J85" s="499">
        <v>0.29699999999999999</v>
      </c>
      <c r="L85" s="407"/>
      <c r="M85" s="407"/>
      <c r="N85" s="407"/>
      <c r="O85" s="407"/>
      <c r="P85" s="407"/>
      <c r="Q85" s="407"/>
    </row>
    <row r="86" spans="1:17" ht="35.049999999999997" customHeight="1" x14ac:dyDescent="0.3">
      <c r="A86" s="398" t="s">
        <v>842</v>
      </c>
      <c r="B86" s="17"/>
      <c r="C86" s="520"/>
      <c r="D86" s="501">
        <v>2.0409999999999999</v>
      </c>
      <c r="E86" s="502">
        <v>0.50900000000000001</v>
      </c>
      <c r="F86" s="503">
        <v>5.0999999999999997E-2</v>
      </c>
      <c r="G86" s="508">
        <v>5.13</v>
      </c>
      <c r="H86" s="509">
        <v>0</v>
      </c>
      <c r="I86" s="399">
        <v>0</v>
      </c>
      <c r="J86" s="500">
        <v>0</v>
      </c>
      <c r="L86" s="407"/>
      <c r="M86" s="407"/>
      <c r="N86" s="407"/>
      <c r="O86" s="407"/>
      <c r="P86" s="407"/>
      <c r="Q86" s="407"/>
    </row>
    <row r="87" spans="1:17" ht="35.049999999999997" customHeight="1" x14ac:dyDescent="0.3">
      <c r="A87" s="398" t="s">
        <v>843</v>
      </c>
      <c r="B87" s="17"/>
      <c r="C87" s="520"/>
      <c r="D87" s="501">
        <v>2.0409999999999999</v>
      </c>
      <c r="E87" s="502">
        <v>0.50900000000000001</v>
      </c>
      <c r="F87" s="503">
        <v>5.0999999999999997E-2</v>
      </c>
      <c r="G87" s="509">
        <v>0</v>
      </c>
      <c r="H87" s="509">
        <v>0</v>
      </c>
      <c r="I87" s="399">
        <v>0</v>
      </c>
      <c r="J87" s="500">
        <v>0</v>
      </c>
      <c r="L87" s="407"/>
      <c r="M87" s="407"/>
      <c r="N87" s="407"/>
      <c r="O87" s="407"/>
      <c r="P87" s="407"/>
      <c r="Q87" s="407"/>
    </row>
    <row r="88" spans="1:17" ht="35.049999999999997" customHeight="1" x14ac:dyDescent="0.3">
      <c r="A88" s="398" t="s">
        <v>844</v>
      </c>
      <c r="B88" s="17"/>
      <c r="C88" s="520"/>
      <c r="D88" s="501">
        <v>2.52</v>
      </c>
      <c r="E88" s="502">
        <v>0.628</v>
      </c>
      <c r="F88" s="503">
        <v>6.3E-2</v>
      </c>
      <c r="G88" s="508">
        <v>1.48</v>
      </c>
      <c r="H88" s="509">
        <v>0</v>
      </c>
      <c r="I88" s="399">
        <v>0</v>
      </c>
      <c r="J88" s="500">
        <v>0</v>
      </c>
      <c r="L88" s="407"/>
      <c r="M88" s="407"/>
      <c r="N88" s="407"/>
      <c r="O88" s="407"/>
      <c r="P88" s="407"/>
      <c r="Q88" s="407"/>
    </row>
    <row r="89" spans="1:17" ht="35.049999999999997" customHeight="1" x14ac:dyDescent="0.3">
      <c r="A89" s="398" t="s">
        <v>845</v>
      </c>
      <c r="B89" s="17"/>
      <c r="C89" s="520"/>
      <c r="D89" s="501">
        <v>2.52</v>
      </c>
      <c r="E89" s="502">
        <v>0.628</v>
      </c>
      <c r="F89" s="503">
        <v>6.3E-2</v>
      </c>
      <c r="G89" s="508">
        <v>5.32</v>
      </c>
      <c r="H89" s="509">
        <v>0</v>
      </c>
      <c r="I89" s="399">
        <v>0</v>
      </c>
      <c r="J89" s="500">
        <v>0</v>
      </c>
      <c r="L89" s="407"/>
      <c r="M89" s="407"/>
      <c r="N89" s="407"/>
      <c r="O89" s="407"/>
      <c r="P89" s="407"/>
      <c r="Q89" s="407"/>
    </row>
    <row r="90" spans="1:17" ht="35.049999999999997" customHeight="1" x14ac:dyDescent="0.3">
      <c r="A90" s="398" t="s">
        <v>846</v>
      </c>
      <c r="B90" s="17"/>
      <c r="C90" s="520"/>
      <c r="D90" s="501">
        <v>2.52</v>
      </c>
      <c r="E90" s="502">
        <v>0.628</v>
      </c>
      <c r="F90" s="503">
        <v>6.3E-2</v>
      </c>
      <c r="G90" s="508">
        <v>11.16</v>
      </c>
      <c r="H90" s="509">
        <v>0</v>
      </c>
      <c r="I90" s="399">
        <v>0</v>
      </c>
      <c r="J90" s="500">
        <v>0</v>
      </c>
      <c r="L90" s="407"/>
      <c r="M90" s="407"/>
      <c r="N90" s="407"/>
      <c r="O90" s="407"/>
      <c r="P90" s="407"/>
      <c r="Q90" s="407"/>
    </row>
    <row r="91" spans="1:17" ht="35.049999999999997" customHeight="1" x14ac:dyDescent="0.3">
      <c r="A91" s="398" t="s">
        <v>847</v>
      </c>
      <c r="B91" s="17"/>
      <c r="C91" s="520"/>
      <c r="D91" s="501">
        <v>2.52</v>
      </c>
      <c r="E91" s="502">
        <v>0.628</v>
      </c>
      <c r="F91" s="503">
        <v>6.3E-2</v>
      </c>
      <c r="G91" s="508">
        <v>23.04</v>
      </c>
      <c r="H91" s="509">
        <v>0</v>
      </c>
      <c r="I91" s="399">
        <v>0</v>
      </c>
      <c r="J91" s="500">
        <v>0</v>
      </c>
      <c r="L91" s="407"/>
      <c r="M91" s="407"/>
      <c r="N91" s="407"/>
      <c r="O91" s="407"/>
      <c r="P91" s="407"/>
      <c r="Q91" s="407"/>
    </row>
    <row r="92" spans="1:17" ht="35.049999999999997" customHeight="1" x14ac:dyDescent="0.3">
      <c r="A92" s="398" t="s">
        <v>848</v>
      </c>
      <c r="B92" s="17"/>
      <c r="C92" s="520"/>
      <c r="D92" s="501">
        <v>2.52</v>
      </c>
      <c r="E92" s="502">
        <v>0.628</v>
      </c>
      <c r="F92" s="503">
        <v>6.3E-2</v>
      </c>
      <c r="G92" s="508">
        <v>73.33</v>
      </c>
      <c r="H92" s="509">
        <v>0</v>
      </c>
      <c r="I92" s="399">
        <v>0</v>
      </c>
      <c r="J92" s="500">
        <v>0</v>
      </c>
      <c r="L92" s="407"/>
      <c r="M92" s="407"/>
      <c r="N92" s="407"/>
      <c r="O92" s="407"/>
      <c r="P92" s="407"/>
      <c r="Q92" s="407"/>
    </row>
    <row r="93" spans="1:17" ht="35.049999999999997" customHeight="1" x14ac:dyDescent="0.3">
      <c r="A93" s="398" t="s">
        <v>588</v>
      </c>
      <c r="B93" s="17"/>
      <c r="C93" s="520"/>
      <c r="D93" s="501">
        <v>2.52</v>
      </c>
      <c r="E93" s="502">
        <v>0.628</v>
      </c>
      <c r="F93" s="503">
        <v>6.3E-2</v>
      </c>
      <c r="G93" s="509">
        <v>0</v>
      </c>
      <c r="H93" s="509">
        <v>0</v>
      </c>
      <c r="I93" s="399">
        <v>0</v>
      </c>
      <c r="J93" s="500">
        <v>0</v>
      </c>
      <c r="L93" s="407"/>
      <c r="M93" s="407"/>
      <c r="N93" s="407"/>
      <c r="O93" s="407"/>
      <c r="P93" s="407"/>
      <c r="Q93" s="407"/>
    </row>
    <row r="94" spans="1:17" ht="35.049999999999997" customHeight="1" x14ac:dyDescent="0.3">
      <c r="A94" s="398" t="s">
        <v>849</v>
      </c>
      <c r="B94" s="17"/>
      <c r="C94" s="520"/>
      <c r="D94" s="501">
        <v>1.7290000000000001</v>
      </c>
      <c r="E94" s="502">
        <v>0.4</v>
      </c>
      <c r="F94" s="503">
        <v>3.9E-2</v>
      </c>
      <c r="G94" s="508">
        <v>5.4</v>
      </c>
      <c r="H94" s="508">
        <v>0.71</v>
      </c>
      <c r="I94" s="400">
        <v>1.1599999999999999</v>
      </c>
      <c r="J94" s="499">
        <v>0.112</v>
      </c>
      <c r="L94" s="407"/>
      <c r="M94" s="407"/>
      <c r="N94" s="407"/>
      <c r="O94" s="407"/>
      <c r="P94" s="407"/>
      <c r="Q94" s="407"/>
    </row>
    <row r="95" spans="1:17" ht="35.049999999999997" customHeight="1" x14ac:dyDescent="0.3">
      <c r="A95" s="398" t="s">
        <v>850</v>
      </c>
      <c r="B95" s="17"/>
      <c r="C95" s="520"/>
      <c r="D95" s="501">
        <v>1.7290000000000001</v>
      </c>
      <c r="E95" s="502">
        <v>0.4</v>
      </c>
      <c r="F95" s="503">
        <v>3.9E-2</v>
      </c>
      <c r="G95" s="508">
        <v>115.02</v>
      </c>
      <c r="H95" s="508">
        <v>0.71</v>
      </c>
      <c r="I95" s="400">
        <v>1.1599999999999999</v>
      </c>
      <c r="J95" s="499">
        <v>0.112</v>
      </c>
      <c r="L95" s="407"/>
      <c r="M95" s="407"/>
      <c r="N95" s="407"/>
      <c r="O95" s="407"/>
      <c r="P95" s="407"/>
      <c r="Q95" s="407"/>
    </row>
    <row r="96" spans="1:17" ht="35.049999999999997" customHeight="1" x14ac:dyDescent="0.3">
      <c r="A96" s="398" t="s">
        <v>851</v>
      </c>
      <c r="B96" s="17"/>
      <c r="C96" s="520"/>
      <c r="D96" s="501">
        <v>1.7290000000000001</v>
      </c>
      <c r="E96" s="502">
        <v>0.4</v>
      </c>
      <c r="F96" s="503">
        <v>3.9E-2</v>
      </c>
      <c r="G96" s="508">
        <v>227.73</v>
      </c>
      <c r="H96" s="508">
        <v>0.71</v>
      </c>
      <c r="I96" s="400">
        <v>1.1599999999999999</v>
      </c>
      <c r="J96" s="499">
        <v>0.112</v>
      </c>
      <c r="L96" s="407"/>
      <c r="M96" s="407"/>
      <c r="N96" s="407"/>
      <c r="O96" s="407"/>
      <c r="P96" s="407"/>
      <c r="Q96" s="407"/>
    </row>
    <row r="97" spans="1:17" ht="35.049999999999997" customHeight="1" x14ac:dyDescent="0.3">
      <c r="A97" s="398" t="s">
        <v>852</v>
      </c>
      <c r="B97" s="17"/>
      <c r="C97" s="520"/>
      <c r="D97" s="501">
        <v>1.7290000000000001</v>
      </c>
      <c r="E97" s="502">
        <v>0.4</v>
      </c>
      <c r="F97" s="503">
        <v>3.9E-2</v>
      </c>
      <c r="G97" s="508">
        <v>358.05</v>
      </c>
      <c r="H97" s="508">
        <v>0.71</v>
      </c>
      <c r="I97" s="400">
        <v>1.1599999999999999</v>
      </c>
      <c r="J97" s="499">
        <v>0.112</v>
      </c>
      <c r="L97" s="407"/>
      <c r="M97" s="407"/>
      <c r="N97" s="407"/>
      <c r="O97" s="407"/>
      <c r="P97" s="407"/>
      <c r="Q97" s="407"/>
    </row>
    <row r="98" spans="1:17" ht="35.049999999999997" customHeight="1" x14ac:dyDescent="0.3">
      <c r="A98" s="398" t="s">
        <v>853</v>
      </c>
      <c r="B98" s="17"/>
      <c r="C98" s="520"/>
      <c r="D98" s="501">
        <v>1.7290000000000001</v>
      </c>
      <c r="E98" s="502">
        <v>0.4</v>
      </c>
      <c r="F98" s="503">
        <v>3.9E-2</v>
      </c>
      <c r="G98" s="508">
        <v>814.51</v>
      </c>
      <c r="H98" s="508">
        <v>0.71</v>
      </c>
      <c r="I98" s="400">
        <v>1.1599999999999999</v>
      </c>
      <c r="J98" s="499">
        <v>0.112</v>
      </c>
      <c r="K98" s="1"/>
    </row>
    <row r="99" spans="1:17" ht="35.049999999999997" customHeight="1" x14ac:dyDescent="0.3">
      <c r="A99" s="398" t="s">
        <v>854</v>
      </c>
      <c r="B99" s="17"/>
      <c r="C99" s="520"/>
      <c r="D99" s="501">
        <v>2.1360000000000001</v>
      </c>
      <c r="E99" s="502">
        <v>0.41099999999999998</v>
      </c>
      <c r="F99" s="503">
        <v>3.6999999999999998E-2</v>
      </c>
      <c r="G99" s="508">
        <v>3.07</v>
      </c>
      <c r="H99" s="508">
        <v>2.16</v>
      </c>
      <c r="I99" s="400">
        <v>2.88</v>
      </c>
      <c r="J99" s="499">
        <v>0.115</v>
      </c>
      <c r="K99" s="1"/>
    </row>
    <row r="100" spans="1:17" ht="35.049999999999997" customHeight="1" x14ac:dyDescent="0.3">
      <c r="A100" s="398" t="s">
        <v>855</v>
      </c>
      <c r="B100" s="17"/>
      <c r="C100" s="520"/>
      <c r="D100" s="501">
        <v>2.1360000000000001</v>
      </c>
      <c r="E100" s="502">
        <v>0.41099999999999998</v>
      </c>
      <c r="F100" s="503">
        <v>3.6999999999999998E-2</v>
      </c>
      <c r="G100" s="508">
        <v>174.74</v>
      </c>
      <c r="H100" s="508">
        <v>2.16</v>
      </c>
      <c r="I100" s="400">
        <v>2.88</v>
      </c>
      <c r="J100" s="499">
        <v>0.115</v>
      </c>
      <c r="K100" s="1"/>
    </row>
    <row r="101" spans="1:17" ht="35.049999999999997" customHeight="1" x14ac:dyDescent="0.3">
      <c r="A101" s="398" t="s">
        <v>856</v>
      </c>
      <c r="B101" s="17"/>
      <c r="C101" s="520"/>
      <c r="D101" s="501">
        <v>2.1360000000000001</v>
      </c>
      <c r="E101" s="502">
        <v>0.41099999999999998</v>
      </c>
      <c r="F101" s="503">
        <v>3.6999999999999998E-2</v>
      </c>
      <c r="G101" s="508">
        <v>351.24</v>
      </c>
      <c r="H101" s="508">
        <v>2.16</v>
      </c>
      <c r="I101" s="400">
        <v>2.88</v>
      </c>
      <c r="J101" s="499">
        <v>0.115</v>
      </c>
      <c r="K101" s="1"/>
    </row>
    <row r="102" spans="1:17" ht="35.049999999999997" customHeight="1" x14ac:dyDescent="0.3">
      <c r="A102" s="398" t="s">
        <v>857</v>
      </c>
      <c r="B102" s="17"/>
      <c r="C102" s="520"/>
      <c r="D102" s="501">
        <v>2.1360000000000001</v>
      </c>
      <c r="E102" s="502">
        <v>0.41099999999999998</v>
      </c>
      <c r="F102" s="503">
        <v>3.6999999999999998E-2</v>
      </c>
      <c r="G102" s="508">
        <v>555.33000000000004</v>
      </c>
      <c r="H102" s="508">
        <v>2.16</v>
      </c>
      <c r="I102" s="400">
        <v>2.88</v>
      </c>
      <c r="J102" s="499">
        <v>0.115</v>
      </c>
      <c r="K102" s="1"/>
    </row>
    <row r="103" spans="1:17" ht="35.049999999999997" customHeight="1" x14ac:dyDescent="0.3">
      <c r="A103" s="398" t="s">
        <v>858</v>
      </c>
      <c r="B103" s="17"/>
      <c r="C103" s="520"/>
      <c r="D103" s="501">
        <v>2.1360000000000001</v>
      </c>
      <c r="E103" s="502">
        <v>0.41099999999999998</v>
      </c>
      <c r="F103" s="503">
        <v>3.6999999999999998E-2</v>
      </c>
      <c r="G103" s="508">
        <v>1270.1400000000001</v>
      </c>
      <c r="H103" s="508">
        <v>2.16</v>
      </c>
      <c r="I103" s="400">
        <v>2.88</v>
      </c>
      <c r="J103" s="499">
        <v>0.115</v>
      </c>
      <c r="K103" s="1"/>
    </row>
    <row r="104" spans="1:17" ht="35.049999999999997" customHeight="1" x14ac:dyDescent="0.3">
      <c r="A104" s="398" t="s">
        <v>859</v>
      </c>
      <c r="B104" s="17"/>
      <c r="C104" s="520"/>
      <c r="D104" s="501">
        <v>1.7290000000000001</v>
      </c>
      <c r="E104" s="502">
        <v>0.29599999999999999</v>
      </c>
      <c r="F104" s="503">
        <v>2.4E-2</v>
      </c>
      <c r="G104" s="508">
        <v>48.96</v>
      </c>
      <c r="H104" s="508">
        <v>1.94</v>
      </c>
      <c r="I104" s="400">
        <v>2.99</v>
      </c>
      <c r="J104" s="499">
        <v>0.08</v>
      </c>
      <c r="K104" s="1"/>
    </row>
    <row r="105" spans="1:17" ht="35.049999999999997" customHeight="1" x14ac:dyDescent="0.3">
      <c r="A105" s="398" t="s">
        <v>860</v>
      </c>
      <c r="B105" s="17"/>
      <c r="C105" s="520"/>
      <c r="D105" s="501">
        <v>1.7290000000000001</v>
      </c>
      <c r="E105" s="502">
        <v>0.29599999999999999</v>
      </c>
      <c r="F105" s="503">
        <v>2.4E-2</v>
      </c>
      <c r="G105" s="508">
        <v>1058.5</v>
      </c>
      <c r="H105" s="508">
        <v>1.94</v>
      </c>
      <c r="I105" s="400">
        <v>2.99</v>
      </c>
      <c r="J105" s="499">
        <v>0.08</v>
      </c>
      <c r="K105" s="1"/>
    </row>
    <row r="106" spans="1:17" ht="35.049999999999997" customHeight="1" x14ac:dyDescent="0.3">
      <c r="A106" s="398" t="s">
        <v>861</v>
      </c>
      <c r="B106" s="17"/>
      <c r="C106" s="520"/>
      <c r="D106" s="501">
        <v>1.7290000000000001</v>
      </c>
      <c r="E106" s="502">
        <v>0.29599999999999999</v>
      </c>
      <c r="F106" s="503">
        <v>2.4E-2</v>
      </c>
      <c r="G106" s="508">
        <v>3329.25</v>
      </c>
      <c r="H106" s="508">
        <v>1.94</v>
      </c>
      <c r="I106" s="400">
        <v>2.99</v>
      </c>
      <c r="J106" s="499">
        <v>0.08</v>
      </c>
      <c r="K106" s="1"/>
    </row>
    <row r="107" spans="1:17" ht="35.049999999999997" customHeight="1" x14ac:dyDescent="0.3">
      <c r="A107" s="398" t="s">
        <v>862</v>
      </c>
      <c r="B107" s="17"/>
      <c r="C107" s="520"/>
      <c r="D107" s="501">
        <v>1.7290000000000001</v>
      </c>
      <c r="E107" s="502">
        <v>0.29599999999999999</v>
      </c>
      <c r="F107" s="503">
        <v>2.4E-2</v>
      </c>
      <c r="G107" s="508">
        <v>7218.98</v>
      </c>
      <c r="H107" s="508">
        <v>1.94</v>
      </c>
      <c r="I107" s="400">
        <v>2.99</v>
      </c>
      <c r="J107" s="499">
        <v>0.08</v>
      </c>
      <c r="K107" s="1"/>
    </row>
    <row r="108" spans="1:17" ht="35.049999999999997" customHeight="1" x14ac:dyDescent="0.3">
      <c r="A108" s="398" t="s">
        <v>863</v>
      </c>
      <c r="B108" s="17"/>
      <c r="C108" s="520"/>
      <c r="D108" s="501">
        <v>1.7290000000000001</v>
      </c>
      <c r="E108" s="502">
        <v>0.29599999999999999</v>
      </c>
      <c r="F108" s="503">
        <v>2.4E-2</v>
      </c>
      <c r="G108" s="508">
        <v>14093.47</v>
      </c>
      <c r="H108" s="508">
        <v>1.94</v>
      </c>
      <c r="I108" s="400">
        <v>2.99</v>
      </c>
      <c r="J108" s="499">
        <v>0.08</v>
      </c>
      <c r="K108" s="1"/>
    </row>
    <row r="109" spans="1:17" ht="35.049999999999997" customHeight="1" x14ac:dyDescent="0.3">
      <c r="A109" s="398" t="s">
        <v>589</v>
      </c>
      <c r="B109" s="17"/>
      <c r="C109" s="520"/>
      <c r="D109" s="504">
        <v>4.3840000000000003</v>
      </c>
      <c r="E109" s="505">
        <v>1.0209999999999999</v>
      </c>
      <c r="F109" s="503">
        <v>0.56000000000000005</v>
      </c>
      <c r="G109" s="509">
        <v>0</v>
      </c>
      <c r="H109" s="509">
        <v>0</v>
      </c>
      <c r="I109" s="399">
        <v>0</v>
      </c>
      <c r="J109" s="500">
        <v>0</v>
      </c>
      <c r="K109" s="1"/>
    </row>
    <row r="110" spans="1:17" ht="35.049999999999997" customHeight="1" x14ac:dyDescent="0.3">
      <c r="A110" s="398" t="s">
        <v>696</v>
      </c>
      <c r="B110" s="17"/>
      <c r="C110" s="520"/>
      <c r="D110" s="501">
        <v>-2.444</v>
      </c>
      <c r="E110" s="502">
        <v>-0.60899999999999999</v>
      </c>
      <c r="F110" s="503">
        <v>-6.0999999999999999E-2</v>
      </c>
      <c r="G110" s="508">
        <v>0</v>
      </c>
      <c r="H110" s="509">
        <v>0</v>
      </c>
      <c r="I110" s="399">
        <v>0</v>
      </c>
      <c r="J110" s="500">
        <v>0</v>
      </c>
      <c r="K110" s="1"/>
    </row>
    <row r="111" spans="1:17" ht="35.049999999999997" customHeight="1" x14ac:dyDescent="0.3">
      <c r="A111" s="398" t="s">
        <v>697</v>
      </c>
      <c r="B111" s="17"/>
      <c r="C111" s="520"/>
      <c r="D111" s="501">
        <v>-2.452</v>
      </c>
      <c r="E111" s="502">
        <v>-0.58699999999999997</v>
      </c>
      <c r="F111" s="503">
        <v>-5.8000000000000003E-2</v>
      </c>
      <c r="G111" s="508">
        <v>0</v>
      </c>
      <c r="H111" s="509">
        <v>0</v>
      </c>
      <c r="I111" s="399">
        <v>0</v>
      </c>
      <c r="J111" s="500">
        <v>0</v>
      </c>
      <c r="K111" s="1"/>
    </row>
    <row r="112" spans="1:17" ht="35.049999999999997" customHeight="1" x14ac:dyDescent="0.3">
      <c r="A112" s="398" t="s">
        <v>698</v>
      </c>
      <c r="B112" s="17"/>
      <c r="C112" s="520"/>
      <c r="D112" s="501">
        <v>-2.444</v>
      </c>
      <c r="E112" s="502">
        <v>-0.60899999999999999</v>
      </c>
      <c r="F112" s="503">
        <v>-6.0999999999999999E-2</v>
      </c>
      <c r="G112" s="508">
        <v>0</v>
      </c>
      <c r="H112" s="509">
        <v>0</v>
      </c>
      <c r="I112" s="399">
        <v>0</v>
      </c>
      <c r="J112" s="499">
        <v>0.14799999999999999</v>
      </c>
      <c r="K112" s="1"/>
    </row>
    <row r="113" spans="1:11" ht="35.049999999999997" customHeight="1" x14ac:dyDescent="0.3">
      <c r="A113" s="398" t="s">
        <v>699</v>
      </c>
      <c r="B113" s="17"/>
      <c r="C113" s="520"/>
      <c r="D113" s="501">
        <v>-2.452</v>
      </c>
      <c r="E113" s="502">
        <v>-0.58699999999999997</v>
      </c>
      <c r="F113" s="503">
        <v>-5.8000000000000003E-2</v>
      </c>
      <c r="G113" s="508">
        <v>0</v>
      </c>
      <c r="H113" s="509">
        <v>0</v>
      </c>
      <c r="I113" s="399">
        <v>0</v>
      </c>
      <c r="J113" s="499">
        <v>0.151</v>
      </c>
      <c r="K113" s="1"/>
    </row>
    <row r="114" spans="1:11" ht="35.049999999999997" customHeight="1" x14ac:dyDescent="0.3">
      <c r="A114" s="398" t="s">
        <v>700</v>
      </c>
      <c r="B114" s="17"/>
      <c r="C114" s="520"/>
      <c r="D114" s="501">
        <v>-3.3079999999999998</v>
      </c>
      <c r="E114" s="502">
        <v>-0.61799999999999999</v>
      </c>
      <c r="F114" s="503">
        <v>-5.2999999999999999E-2</v>
      </c>
      <c r="G114" s="508">
        <v>65.510000000000005</v>
      </c>
      <c r="H114" s="509">
        <v>0</v>
      </c>
      <c r="I114" s="399">
        <v>0</v>
      </c>
      <c r="J114" s="499">
        <v>0.21199999999999999</v>
      </c>
      <c r="K114" s="1"/>
    </row>
    <row r="115" spans="1:11" ht="35.049999999999997" customHeight="1" x14ac:dyDescent="0.3">
      <c r="A115" s="398" t="s">
        <v>864</v>
      </c>
      <c r="B115" s="17"/>
      <c r="C115" s="520"/>
      <c r="D115" s="501">
        <v>1.522</v>
      </c>
      <c r="E115" s="502">
        <v>0.379</v>
      </c>
      <c r="F115" s="503">
        <v>3.7999999999999999E-2</v>
      </c>
      <c r="G115" s="508">
        <v>3.91</v>
      </c>
      <c r="H115" s="509">
        <v>0</v>
      </c>
      <c r="I115" s="399">
        <v>0</v>
      </c>
      <c r="J115" s="500">
        <v>0</v>
      </c>
      <c r="K115" s="1"/>
    </row>
    <row r="116" spans="1:11" ht="35.049999999999997" customHeight="1" x14ac:dyDescent="0.3">
      <c r="A116" s="398" t="s">
        <v>865</v>
      </c>
      <c r="B116" s="17"/>
      <c r="C116" s="520"/>
      <c r="D116" s="501">
        <v>1.522</v>
      </c>
      <c r="E116" s="502">
        <v>0.379</v>
      </c>
      <c r="F116" s="503">
        <v>3.7999999999999999E-2</v>
      </c>
      <c r="G116" s="509">
        <v>0</v>
      </c>
      <c r="H116" s="509">
        <v>0</v>
      </c>
      <c r="I116" s="399">
        <v>0</v>
      </c>
      <c r="J116" s="500">
        <v>0</v>
      </c>
      <c r="K116" s="1"/>
    </row>
    <row r="117" spans="1:11" ht="35.049999999999997" customHeight="1" x14ac:dyDescent="0.3">
      <c r="A117" s="398" t="s">
        <v>866</v>
      </c>
      <c r="B117" s="17"/>
      <c r="C117" s="520"/>
      <c r="D117" s="501">
        <v>1.879</v>
      </c>
      <c r="E117" s="502">
        <v>0.46800000000000003</v>
      </c>
      <c r="F117" s="503">
        <v>4.7E-2</v>
      </c>
      <c r="G117" s="508">
        <v>1.1499999999999999</v>
      </c>
      <c r="H117" s="509">
        <v>0</v>
      </c>
      <c r="I117" s="399">
        <v>0</v>
      </c>
      <c r="J117" s="500">
        <v>0</v>
      </c>
      <c r="K117" s="1"/>
    </row>
    <row r="118" spans="1:11" ht="35.049999999999997" customHeight="1" x14ac:dyDescent="0.3">
      <c r="A118" s="398" t="s">
        <v>867</v>
      </c>
      <c r="B118" s="17"/>
      <c r="C118" s="520"/>
      <c r="D118" s="501">
        <v>1.879</v>
      </c>
      <c r="E118" s="502">
        <v>0.46800000000000003</v>
      </c>
      <c r="F118" s="503">
        <v>4.7E-2</v>
      </c>
      <c r="G118" s="508">
        <v>4.01</v>
      </c>
      <c r="H118" s="509">
        <v>0</v>
      </c>
      <c r="I118" s="399">
        <v>0</v>
      </c>
      <c r="J118" s="500">
        <v>0</v>
      </c>
      <c r="K118" s="1"/>
    </row>
    <row r="119" spans="1:11" ht="35.049999999999997" customHeight="1" x14ac:dyDescent="0.3">
      <c r="A119" s="398" t="s">
        <v>868</v>
      </c>
      <c r="B119" s="17"/>
      <c r="C119" s="520"/>
      <c r="D119" s="501">
        <v>1.879</v>
      </c>
      <c r="E119" s="502">
        <v>0.46800000000000003</v>
      </c>
      <c r="F119" s="503">
        <v>4.7E-2</v>
      </c>
      <c r="G119" s="508">
        <v>8.3699999999999992</v>
      </c>
      <c r="H119" s="509">
        <v>0</v>
      </c>
      <c r="I119" s="399">
        <v>0</v>
      </c>
      <c r="J119" s="500">
        <v>0</v>
      </c>
      <c r="K119" s="1"/>
    </row>
    <row r="120" spans="1:11" ht="35.049999999999997" customHeight="1" x14ac:dyDescent="0.3">
      <c r="A120" s="398" t="s">
        <v>869</v>
      </c>
      <c r="B120" s="17"/>
      <c r="C120" s="520"/>
      <c r="D120" s="501">
        <v>1.879</v>
      </c>
      <c r="E120" s="502">
        <v>0.46800000000000003</v>
      </c>
      <c r="F120" s="503">
        <v>4.7E-2</v>
      </c>
      <c r="G120" s="508">
        <v>17.22</v>
      </c>
      <c r="H120" s="509">
        <v>0</v>
      </c>
      <c r="I120" s="399">
        <v>0</v>
      </c>
      <c r="J120" s="500">
        <v>0</v>
      </c>
      <c r="K120" s="1"/>
    </row>
    <row r="121" spans="1:11" ht="35.049999999999997" customHeight="1" x14ac:dyDescent="0.3">
      <c r="A121" s="398" t="s">
        <v>870</v>
      </c>
      <c r="B121" s="17"/>
      <c r="C121" s="520"/>
      <c r="D121" s="501">
        <v>1.879</v>
      </c>
      <c r="E121" s="502">
        <v>0.46800000000000003</v>
      </c>
      <c r="F121" s="503">
        <v>4.7E-2</v>
      </c>
      <c r="G121" s="508">
        <v>54.71</v>
      </c>
      <c r="H121" s="509">
        <v>0</v>
      </c>
      <c r="I121" s="399">
        <v>0</v>
      </c>
      <c r="J121" s="500">
        <v>0</v>
      </c>
      <c r="K121" s="1"/>
    </row>
    <row r="122" spans="1:11" ht="35.049999999999997" customHeight="1" x14ac:dyDescent="0.3">
      <c r="A122" s="398" t="s">
        <v>590</v>
      </c>
      <c r="B122" s="17"/>
      <c r="C122" s="520"/>
      <c r="D122" s="501">
        <v>1.879</v>
      </c>
      <c r="E122" s="502">
        <v>0.46800000000000003</v>
      </c>
      <c r="F122" s="503">
        <v>4.7E-2</v>
      </c>
      <c r="G122" s="509">
        <v>0</v>
      </c>
      <c r="H122" s="509">
        <v>0</v>
      </c>
      <c r="I122" s="399">
        <v>0</v>
      </c>
      <c r="J122" s="500">
        <v>0</v>
      </c>
      <c r="K122" s="1"/>
    </row>
    <row r="123" spans="1:11" ht="35.049999999999997" customHeight="1" x14ac:dyDescent="0.3">
      <c r="A123" s="398" t="s">
        <v>871</v>
      </c>
      <c r="B123" s="17"/>
      <c r="C123" s="520"/>
      <c r="D123" s="501">
        <v>1.2889999999999999</v>
      </c>
      <c r="E123" s="502">
        <v>0.29799999999999999</v>
      </c>
      <c r="F123" s="503">
        <v>2.9000000000000001E-2</v>
      </c>
      <c r="G123" s="508">
        <v>4.07</v>
      </c>
      <c r="H123" s="508">
        <v>0.53</v>
      </c>
      <c r="I123" s="400">
        <v>0.87</v>
      </c>
      <c r="J123" s="499">
        <v>8.4000000000000005E-2</v>
      </c>
      <c r="K123" s="1"/>
    </row>
    <row r="124" spans="1:11" ht="35.049999999999997" customHeight="1" x14ac:dyDescent="0.3">
      <c r="A124" s="398" t="s">
        <v>872</v>
      </c>
      <c r="B124" s="17"/>
      <c r="C124" s="520"/>
      <c r="D124" s="501">
        <v>1.2889999999999999</v>
      </c>
      <c r="E124" s="502">
        <v>0.29799999999999999</v>
      </c>
      <c r="F124" s="503">
        <v>2.9000000000000001E-2</v>
      </c>
      <c r="G124" s="508">
        <v>85.78</v>
      </c>
      <c r="H124" s="508">
        <v>0.53</v>
      </c>
      <c r="I124" s="400">
        <v>0.87</v>
      </c>
      <c r="J124" s="499">
        <v>8.4000000000000005E-2</v>
      </c>
      <c r="K124" s="1"/>
    </row>
    <row r="125" spans="1:11" ht="35.049999999999997" customHeight="1" x14ac:dyDescent="0.3">
      <c r="A125" s="398" t="s">
        <v>873</v>
      </c>
      <c r="B125" s="17"/>
      <c r="C125" s="520"/>
      <c r="D125" s="501">
        <v>1.2889999999999999</v>
      </c>
      <c r="E125" s="502">
        <v>0.29799999999999999</v>
      </c>
      <c r="F125" s="503">
        <v>2.9000000000000001E-2</v>
      </c>
      <c r="G125" s="508">
        <v>169.78</v>
      </c>
      <c r="H125" s="508">
        <v>0.53</v>
      </c>
      <c r="I125" s="400">
        <v>0.87</v>
      </c>
      <c r="J125" s="499">
        <v>8.4000000000000005E-2</v>
      </c>
      <c r="K125" s="1"/>
    </row>
    <row r="126" spans="1:11" ht="35.049999999999997" customHeight="1" x14ac:dyDescent="0.3">
      <c r="A126" s="398" t="s">
        <v>874</v>
      </c>
      <c r="B126" s="17"/>
      <c r="C126" s="520"/>
      <c r="D126" s="501">
        <v>1.2889999999999999</v>
      </c>
      <c r="E126" s="502">
        <v>0.29799999999999999</v>
      </c>
      <c r="F126" s="503">
        <v>2.9000000000000001E-2</v>
      </c>
      <c r="G126" s="508">
        <v>266.92</v>
      </c>
      <c r="H126" s="508">
        <v>0.53</v>
      </c>
      <c r="I126" s="400">
        <v>0.87</v>
      </c>
      <c r="J126" s="499">
        <v>8.4000000000000005E-2</v>
      </c>
      <c r="K126" s="1"/>
    </row>
    <row r="127" spans="1:11" ht="35.049999999999997" customHeight="1" x14ac:dyDescent="0.3">
      <c r="A127" s="398" t="s">
        <v>875</v>
      </c>
      <c r="B127" s="17"/>
      <c r="C127" s="520"/>
      <c r="D127" s="501">
        <v>1.2889999999999999</v>
      </c>
      <c r="E127" s="502">
        <v>0.29799999999999999</v>
      </c>
      <c r="F127" s="503">
        <v>2.9000000000000001E-2</v>
      </c>
      <c r="G127" s="508">
        <v>607.13</v>
      </c>
      <c r="H127" s="508">
        <v>0.53</v>
      </c>
      <c r="I127" s="400">
        <v>0.87</v>
      </c>
      <c r="J127" s="499">
        <v>8.4000000000000005E-2</v>
      </c>
      <c r="K127" s="1"/>
    </row>
    <row r="128" spans="1:11" ht="35.049999999999997" customHeight="1" x14ac:dyDescent="0.3">
      <c r="A128" s="398" t="s">
        <v>876</v>
      </c>
      <c r="B128" s="17"/>
      <c r="C128" s="520"/>
      <c r="D128" s="501">
        <v>1.5920000000000001</v>
      </c>
      <c r="E128" s="502">
        <v>0.30599999999999999</v>
      </c>
      <c r="F128" s="503">
        <v>2.7E-2</v>
      </c>
      <c r="G128" s="508">
        <v>2.34</v>
      </c>
      <c r="H128" s="508">
        <v>1.61</v>
      </c>
      <c r="I128" s="400">
        <v>2.14</v>
      </c>
      <c r="J128" s="499">
        <v>8.5000000000000006E-2</v>
      </c>
      <c r="K128" s="1"/>
    </row>
    <row r="129" spans="1:11" ht="35.049999999999997" customHeight="1" x14ac:dyDescent="0.3">
      <c r="A129" s="398" t="s">
        <v>877</v>
      </c>
      <c r="B129" s="17"/>
      <c r="C129" s="520"/>
      <c r="D129" s="501">
        <v>1.5920000000000001</v>
      </c>
      <c r="E129" s="502">
        <v>0.30599999999999999</v>
      </c>
      <c r="F129" s="503">
        <v>2.7E-2</v>
      </c>
      <c r="G129" s="508">
        <v>130.29</v>
      </c>
      <c r="H129" s="508">
        <v>1.61</v>
      </c>
      <c r="I129" s="400">
        <v>2.14</v>
      </c>
      <c r="J129" s="499">
        <v>8.5000000000000006E-2</v>
      </c>
      <c r="K129" s="1"/>
    </row>
    <row r="130" spans="1:11" ht="35.049999999999997" customHeight="1" x14ac:dyDescent="0.3">
      <c r="A130" s="398" t="s">
        <v>878</v>
      </c>
      <c r="B130" s="17"/>
      <c r="C130" s="520"/>
      <c r="D130" s="501">
        <v>1.5920000000000001</v>
      </c>
      <c r="E130" s="502">
        <v>0.30599999999999999</v>
      </c>
      <c r="F130" s="503">
        <v>2.7E-2</v>
      </c>
      <c r="G130" s="508">
        <v>261.83999999999997</v>
      </c>
      <c r="H130" s="508">
        <v>1.61</v>
      </c>
      <c r="I130" s="400">
        <v>2.14</v>
      </c>
      <c r="J130" s="499">
        <v>8.5000000000000006E-2</v>
      </c>
      <c r="K130" s="1"/>
    </row>
    <row r="131" spans="1:11" ht="35.049999999999997" customHeight="1" x14ac:dyDescent="0.3">
      <c r="A131" s="398" t="s">
        <v>879</v>
      </c>
      <c r="B131" s="17"/>
      <c r="C131" s="520"/>
      <c r="D131" s="501">
        <v>1.5920000000000001</v>
      </c>
      <c r="E131" s="502">
        <v>0.30599999999999999</v>
      </c>
      <c r="F131" s="503">
        <v>2.7E-2</v>
      </c>
      <c r="G131" s="508">
        <v>413.95</v>
      </c>
      <c r="H131" s="508">
        <v>1.61</v>
      </c>
      <c r="I131" s="400">
        <v>2.14</v>
      </c>
      <c r="J131" s="499">
        <v>8.5000000000000006E-2</v>
      </c>
      <c r="K131" s="1"/>
    </row>
    <row r="132" spans="1:11" ht="35.049999999999997" customHeight="1" x14ac:dyDescent="0.3">
      <c r="A132" s="398" t="s">
        <v>880</v>
      </c>
      <c r="B132" s="17"/>
      <c r="C132" s="520"/>
      <c r="D132" s="501">
        <v>1.5920000000000001</v>
      </c>
      <c r="E132" s="502">
        <v>0.30599999999999999</v>
      </c>
      <c r="F132" s="503">
        <v>2.7E-2</v>
      </c>
      <c r="G132" s="508">
        <v>946.73</v>
      </c>
      <c r="H132" s="508">
        <v>1.61</v>
      </c>
      <c r="I132" s="400">
        <v>2.14</v>
      </c>
      <c r="J132" s="499">
        <v>8.5000000000000006E-2</v>
      </c>
      <c r="K132" s="1"/>
    </row>
    <row r="133" spans="1:11" ht="35.049999999999997" customHeight="1" x14ac:dyDescent="0.3">
      <c r="A133" s="398" t="s">
        <v>881</v>
      </c>
      <c r="B133" s="17"/>
      <c r="C133" s="520"/>
      <c r="D133" s="501">
        <v>1.2889999999999999</v>
      </c>
      <c r="E133" s="502">
        <v>0.221</v>
      </c>
      <c r="F133" s="503">
        <v>1.7999999999999999E-2</v>
      </c>
      <c r="G133" s="508">
        <v>36.54</v>
      </c>
      <c r="H133" s="508">
        <v>1.45</v>
      </c>
      <c r="I133" s="400">
        <v>2.23</v>
      </c>
      <c r="J133" s="499">
        <v>0.06</v>
      </c>
      <c r="K133" s="1"/>
    </row>
    <row r="134" spans="1:11" ht="35.049999999999997" customHeight="1" x14ac:dyDescent="0.3">
      <c r="A134" s="398" t="s">
        <v>882</v>
      </c>
      <c r="B134" s="17"/>
      <c r="C134" s="520"/>
      <c r="D134" s="501">
        <v>1.2889999999999999</v>
      </c>
      <c r="E134" s="502">
        <v>0.221</v>
      </c>
      <c r="F134" s="503">
        <v>1.7999999999999999E-2</v>
      </c>
      <c r="G134" s="508">
        <v>788.99</v>
      </c>
      <c r="H134" s="508">
        <v>1.45</v>
      </c>
      <c r="I134" s="400">
        <v>2.23</v>
      </c>
      <c r="J134" s="499">
        <v>0.06</v>
      </c>
      <c r="K134" s="1"/>
    </row>
    <row r="135" spans="1:11" ht="35.049999999999997" customHeight="1" x14ac:dyDescent="0.3">
      <c r="A135" s="398" t="s">
        <v>883</v>
      </c>
      <c r="B135" s="17"/>
      <c r="C135" s="520"/>
      <c r="D135" s="501">
        <v>1.2889999999999999</v>
      </c>
      <c r="E135" s="502">
        <v>0.221</v>
      </c>
      <c r="F135" s="503">
        <v>1.7999999999999999E-2</v>
      </c>
      <c r="G135" s="508">
        <v>2481.4499999999998</v>
      </c>
      <c r="H135" s="508">
        <v>1.45</v>
      </c>
      <c r="I135" s="400">
        <v>2.23</v>
      </c>
      <c r="J135" s="499">
        <v>0.06</v>
      </c>
      <c r="K135" s="1"/>
    </row>
    <row r="136" spans="1:11" ht="35.049999999999997" customHeight="1" x14ac:dyDescent="0.3">
      <c r="A136" s="398" t="s">
        <v>884</v>
      </c>
      <c r="B136" s="17"/>
      <c r="C136" s="520"/>
      <c r="D136" s="501">
        <v>1.2889999999999999</v>
      </c>
      <c r="E136" s="502">
        <v>0.221</v>
      </c>
      <c r="F136" s="503">
        <v>1.7999999999999999E-2</v>
      </c>
      <c r="G136" s="508">
        <v>5380.61</v>
      </c>
      <c r="H136" s="508">
        <v>1.45</v>
      </c>
      <c r="I136" s="400">
        <v>2.23</v>
      </c>
      <c r="J136" s="499">
        <v>0.06</v>
      </c>
      <c r="K136" s="1"/>
    </row>
    <row r="137" spans="1:11" ht="35.049999999999997" customHeight="1" x14ac:dyDescent="0.3">
      <c r="A137" s="398" t="s">
        <v>885</v>
      </c>
      <c r="B137" s="17"/>
      <c r="C137" s="520"/>
      <c r="D137" s="501">
        <v>1.2889999999999999</v>
      </c>
      <c r="E137" s="502">
        <v>0.221</v>
      </c>
      <c r="F137" s="503">
        <v>1.7999999999999999E-2</v>
      </c>
      <c r="G137" s="508">
        <v>10504.41</v>
      </c>
      <c r="H137" s="508">
        <v>1.45</v>
      </c>
      <c r="I137" s="400">
        <v>2.23</v>
      </c>
      <c r="J137" s="499">
        <v>0.06</v>
      </c>
      <c r="K137" s="1"/>
    </row>
    <row r="138" spans="1:11" ht="35.049999999999997" customHeight="1" x14ac:dyDescent="0.3">
      <c r="A138" s="398" t="s">
        <v>591</v>
      </c>
      <c r="B138" s="17"/>
      <c r="C138" s="520"/>
      <c r="D138" s="504">
        <v>3.2669999999999999</v>
      </c>
      <c r="E138" s="505">
        <v>0.76100000000000001</v>
      </c>
      <c r="F138" s="503">
        <v>0.41699999999999998</v>
      </c>
      <c r="G138" s="509">
        <v>0</v>
      </c>
      <c r="H138" s="509">
        <v>0</v>
      </c>
      <c r="I138" s="399">
        <v>0</v>
      </c>
      <c r="J138" s="500">
        <v>0</v>
      </c>
      <c r="K138" s="1"/>
    </row>
    <row r="139" spans="1:11" ht="35.049999999999997" customHeight="1" x14ac:dyDescent="0.3">
      <c r="A139" s="398" t="s">
        <v>701</v>
      </c>
      <c r="B139" s="17"/>
      <c r="C139" s="520"/>
      <c r="D139" s="501">
        <v>-1.821</v>
      </c>
      <c r="E139" s="502">
        <v>-0.45400000000000001</v>
      </c>
      <c r="F139" s="503">
        <v>-4.4999999999999998E-2</v>
      </c>
      <c r="G139" s="508">
        <v>0</v>
      </c>
      <c r="H139" s="509">
        <v>0</v>
      </c>
      <c r="I139" s="399">
        <v>0</v>
      </c>
      <c r="J139" s="500">
        <v>0</v>
      </c>
      <c r="K139" s="1"/>
    </row>
    <row r="140" spans="1:11" ht="35.049999999999997" customHeight="1" x14ac:dyDescent="0.3">
      <c r="A140" s="398" t="s">
        <v>702</v>
      </c>
      <c r="B140" s="17"/>
      <c r="C140" s="520"/>
      <c r="D140" s="501">
        <v>-1.827</v>
      </c>
      <c r="E140" s="502">
        <v>-0.437</v>
      </c>
      <c r="F140" s="503">
        <v>-4.2999999999999997E-2</v>
      </c>
      <c r="G140" s="508">
        <v>0</v>
      </c>
      <c r="H140" s="509">
        <v>0</v>
      </c>
      <c r="I140" s="399">
        <v>0</v>
      </c>
      <c r="J140" s="500">
        <v>0</v>
      </c>
      <c r="K140" s="1"/>
    </row>
    <row r="141" spans="1:11" ht="35.049999999999997" customHeight="1" x14ac:dyDescent="0.3">
      <c r="A141" s="398" t="s">
        <v>703</v>
      </c>
      <c r="B141" s="17"/>
      <c r="C141" s="520"/>
      <c r="D141" s="501">
        <v>-1.821</v>
      </c>
      <c r="E141" s="502">
        <v>-0.45400000000000001</v>
      </c>
      <c r="F141" s="503">
        <v>-4.4999999999999998E-2</v>
      </c>
      <c r="G141" s="508">
        <v>0</v>
      </c>
      <c r="H141" s="509">
        <v>0</v>
      </c>
      <c r="I141" s="399">
        <v>0</v>
      </c>
      <c r="J141" s="499">
        <v>0.11</v>
      </c>
    </row>
    <row r="142" spans="1:11" ht="35.049999999999997" customHeight="1" x14ac:dyDescent="0.3">
      <c r="A142" s="398" t="s">
        <v>704</v>
      </c>
      <c r="B142" s="17"/>
      <c r="C142" s="520"/>
      <c r="D142" s="501">
        <v>-1.827</v>
      </c>
      <c r="E142" s="502">
        <v>-0.437</v>
      </c>
      <c r="F142" s="503">
        <v>-4.2999999999999997E-2</v>
      </c>
      <c r="G142" s="508">
        <v>0</v>
      </c>
      <c r="H142" s="509">
        <v>0</v>
      </c>
      <c r="I142" s="399">
        <v>0</v>
      </c>
      <c r="J142" s="499">
        <v>0.113</v>
      </c>
    </row>
    <row r="143" spans="1:11" ht="35.049999999999997" customHeight="1" x14ac:dyDescent="0.3">
      <c r="A143" s="398" t="s">
        <v>705</v>
      </c>
      <c r="B143" s="17"/>
      <c r="C143" s="520"/>
      <c r="D143" s="501">
        <v>-2.4660000000000002</v>
      </c>
      <c r="E143" s="502">
        <v>-0.46</v>
      </c>
      <c r="F143" s="503">
        <v>-0.04</v>
      </c>
      <c r="G143" s="508">
        <v>48.83</v>
      </c>
      <c r="H143" s="509">
        <v>0</v>
      </c>
      <c r="I143" s="399">
        <v>0</v>
      </c>
      <c r="J143" s="499">
        <v>0.158</v>
      </c>
    </row>
    <row r="144" spans="1:11" ht="35.049999999999997" customHeight="1" x14ac:dyDescent="0.3">
      <c r="A144" s="398" t="s">
        <v>886</v>
      </c>
      <c r="B144" s="17"/>
      <c r="C144" s="520"/>
      <c r="D144" s="501">
        <v>0.66200000000000003</v>
      </c>
      <c r="E144" s="502">
        <v>0.16500000000000001</v>
      </c>
      <c r="F144" s="503">
        <v>1.6E-2</v>
      </c>
      <c r="G144" s="508">
        <v>1.89</v>
      </c>
      <c r="H144" s="509">
        <v>0</v>
      </c>
      <c r="I144" s="399">
        <v>0</v>
      </c>
      <c r="J144" s="500">
        <v>0</v>
      </c>
    </row>
    <row r="145" spans="1:10" ht="35.049999999999997" customHeight="1" x14ac:dyDescent="0.3">
      <c r="A145" s="398" t="s">
        <v>887</v>
      </c>
      <c r="B145" s="17"/>
      <c r="C145" s="520"/>
      <c r="D145" s="501">
        <v>0.66200000000000003</v>
      </c>
      <c r="E145" s="502">
        <v>0.16500000000000001</v>
      </c>
      <c r="F145" s="503">
        <v>1.6E-2</v>
      </c>
      <c r="G145" s="509">
        <v>0</v>
      </c>
      <c r="H145" s="509">
        <v>0</v>
      </c>
      <c r="I145" s="399">
        <v>0</v>
      </c>
      <c r="J145" s="500">
        <v>0</v>
      </c>
    </row>
    <row r="146" spans="1:10" ht="35.049999999999997" customHeight="1" x14ac:dyDescent="0.3">
      <c r="A146" s="398" t="s">
        <v>888</v>
      </c>
      <c r="B146" s="17"/>
      <c r="C146" s="520"/>
      <c r="D146" s="501">
        <v>0.81799999999999995</v>
      </c>
      <c r="E146" s="502">
        <v>0.20399999999999999</v>
      </c>
      <c r="F146" s="503">
        <v>0.02</v>
      </c>
      <c r="G146" s="508">
        <v>0.61</v>
      </c>
      <c r="H146" s="509">
        <v>0</v>
      </c>
      <c r="I146" s="399">
        <v>0</v>
      </c>
      <c r="J146" s="500">
        <v>0</v>
      </c>
    </row>
    <row r="147" spans="1:10" ht="35.049999999999997" customHeight="1" x14ac:dyDescent="0.3">
      <c r="A147" s="398" t="s">
        <v>889</v>
      </c>
      <c r="B147" s="17"/>
      <c r="C147" s="520"/>
      <c r="D147" s="501">
        <v>0.81799999999999995</v>
      </c>
      <c r="E147" s="502">
        <v>0.20399999999999999</v>
      </c>
      <c r="F147" s="503">
        <v>0.02</v>
      </c>
      <c r="G147" s="508">
        <v>1.85</v>
      </c>
      <c r="H147" s="509">
        <v>0</v>
      </c>
      <c r="I147" s="399">
        <v>0</v>
      </c>
      <c r="J147" s="500">
        <v>0</v>
      </c>
    </row>
    <row r="148" spans="1:10" ht="35.049999999999997" customHeight="1" x14ac:dyDescent="0.3">
      <c r="A148" s="398" t="s">
        <v>890</v>
      </c>
      <c r="B148" s="17"/>
      <c r="C148" s="520"/>
      <c r="D148" s="501">
        <v>0.81799999999999995</v>
      </c>
      <c r="E148" s="502">
        <v>0.20399999999999999</v>
      </c>
      <c r="F148" s="503">
        <v>0.02</v>
      </c>
      <c r="G148" s="508">
        <v>3.75</v>
      </c>
      <c r="H148" s="509">
        <v>0</v>
      </c>
      <c r="I148" s="399">
        <v>0</v>
      </c>
      <c r="J148" s="500">
        <v>0</v>
      </c>
    </row>
    <row r="149" spans="1:10" ht="35.049999999999997" customHeight="1" x14ac:dyDescent="0.3">
      <c r="A149" s="398" t="s">
        <v>891</v>
      </c>
      <c r="B149" s="17"/>
      <c r="C149" s="520"/>
      <c r="D149" s="501">
        <v>0.81799999999999995</v>
      </c>
      <c r="E149" s="502">
        <v>0.20399999999999999</v>
      </c>
      <c r="F149" s="503">
        <v>0.02</v>
      </c>
      <c r="G149" s="508">
        <v>7.6</v>
      </c>
      <c r="H149" s="509">
        <v>0</v>
      </c>
      <c r="I149" s="399">
        <v>0</v>
      </c>
      <c r="J149" s="500">
        <v>0</v>
      </c>
    </row>
    <row r="150" spans="1:10" ht="35.049999999999997" customHeight="1" x14ac:dyDescent="0.3">
      <c r="A150" s="398" t="s">
        <v>892</v>
      </c>
      <c r="B150" s="17"/>
      <c r="C150" s="520"/>
      <c r="D150" s="501">
        <v>0.81799999999999995</v>
      </c>
      <c r="E150" s="502">
        <v>0.20399999999999999</v>
      </c>
      <c r="F150" s="503">
        <v>0.02</v>
      </c>
      <c r="G150" s="508">
        <v>23.91</v>
      </c>
      <c r="H150" s="509">
        <v>0</v>
      </c>
      <c r="I150" s="399">
        <v>0</v>
      </c>
      <c r="J150" s="500">
        <v>0</v>
      </c>
    </row>
    <row r="151" spans="1:10" ht="35.049999999999997" customHeight="1" x14ac:dyDescent="0.3">
      <c r="A151" s="398" t="s">
        <v>592</v>
      </c>
      <c r="B151" s="17"/>
      <c r="C151" s="520"/>
      <c r="D151" s="501">
        <v>0.81799999999999995</v>
      </c>
      <c r="E151" s="502">
        <v>0.20399999999999999</v>
      </c>
      <c r="F151" s="503">
        <v>0.02</v>
      </c>
      <c r="G151" s="509">
        <v>0</v>
      </c>
      <c r="H151" s="509">
        <v>0</v>
      </c>
      <c r="I151" s="399">
        <v>0</v>
      </c>
      <c r="J151" s="500">
        <v>0</v>
      </c>
    </row>
    <row r="152" spans="1:10" ht="35.049999999999997" customHeight="1" x14ac:dyDescent="0.3">
      <c r="A152" s="398" t="s">
        <v>893</v>
      </c>
      <c r="B152" s="17"/>
      <c r="C152" s="520"/>
      <c r="D152" s="501">
        <v>0.56100000000000005</v>
      </c>
      <c r="E152" s="502">
        <v>0.13</v>
      </c>
      <c r="F152" s="503">
        <v>1.2999999999999999E-2</v>
      </c>
      <c r="G152" s="508">
        <v>1.88</v>
      </c>
      <c r="H152" s="508">
        <v>0.23</v>
      </c>
      <c r="I152" s="400">
        <v>0.38</v>
      </c>
      <c r="J152" s="499">
        <v>3.5999999999999997E-2</v>
      </c>
    </row>
    <row r="153" spans="1:10" ht="35.049999999999997" customHeight="1" x14ac:dyDescent="0.3">
      <c r="A153" s="398" t="s">
        <v>894</v>
      </c>
      <c r="B153" s="17"/>
      <c r="C153" s="520"/>
      <c r="D153" s="501">
        <v>0.56100000000000005</v>
      </c>
      <c r="E153" s="502">
        <v>0.13</v>
      </c>
      <c r="F153" s="503">
        <v>1.2999999999999999E-2</v>
      </c>
      <c r="G153" s="508">
        <v>37.44</v>
      </c>
      <c r="H153" s="508">
        <v>0.23</v>
      </c>
      <c r="I153" s="400">
        <v>0.38</v>
      </c>
      <c r="J153" s="499">
        <v>3.5999999999999997E-2</v>
      </c>
    </row>
    <row r="154" spans="1:10" ht="35.049999999999997" customHeight="1" x14ac:dyDescent="0.3">
      <c r="A154" s="398" t="s">
        <v>895</v>
      </c>
      <c r="B154" s="17"/>
      <c r="C154" s="520"/>
      <c r="D154" s="501">
        <v>0.56100000000000005</v>
      </c>
      <c r="E154" s="502">
        <v>0.13</v>
      </c>
      <c r="F154" s="503">
        <v>1.2999999999999999E-2</v>
      </c>
      <c r="G154" s="508">
        <v>74</v>
      </c>
      <c r="H154" s="508">
        <v>0.23</v>
      </c>
      <c r="I154" s="400">
        <v>0.38</v>
      </c>
      <c r="J154" s="499">
        <v>3.5999999999999997E-2</v>
      </c>
    </row>
    <row r="155" spans="1:10" ht="35.049999999999997" customHeight="1" x14ac:dyDescent="0.3">
      <c r="A155" s="398" t="s">
        <v>896</v>
      </c>
      <c r="B155" s="17"/>
      <c r="C155" s="520"/>
      <c r="D155" s="501">
        <v>0.56100000000000005</v>
      </c>
      <c r="E155" s="502">
        <v>0.13</v>
      </c>
      <c r="F155" s="503">
        <v>1.2999999999999999E-2</v>
      </c>
      <c r="G155" s="508">
        <v>116.27</v>
      </c>
      <c r="H155" s="508">
        <v>0.23</v>
      </c>
      <c r="I155" s="400">
        <v>0.38</v>
      </c>
      <c r="J155" s="499">
        <v>3.5999999999999997E-2</v>
      </c>
    </row>
    <row r="156" spans="1:10" ht="35.049999999999997" customHeight="1" x14ac:dyDescent="0.3">
      <c r="A156" s="398" t="s">
        <v>897</v>
      </c>
      <c r="B156" s="17"/>
      <c r="C156" s="520"/>
      <c r="D156" s="501">
        <v>0.56100000000000005</v>
      </c>
      <c r="E156" s="502">
        <v>0.13</v>
      </c>
      <c r="F156" s="503">
        <v>1.2999999999999999E-2</v>
      </c>
      <c r="G156" s="508">
        <v>264.33</v>
      </c>
      <c r="H156" s="508">
        <v>0.23</v>
      </c>
      <c r="I156" s="400">
        <v>0.38</v>
      </c>
      <c r="J156" s="499">
        <v>3.5999999999999997E-2</v>
      </c>
    </row>
    <row r="157" spans="1:10" ht="35.049999999999997" customHeight="1" x14ac:dyDescent="0.3">
      <c r="A157" s="398" t="s">
        <v>898</v>
      </c>
      <c r="B157" s="17"/>
      <c r="C157" s="520"/>
      <c r="D157" s="501">
        <v>0.69299999999999995</v>
      </c>
      <c r="E157" s="502">
        <v>0.13300000000000001</v>
      </c>
      <c r="F157" s="503">
        <v>1.2E-2</v>
      </c>
      <c r="G157" s="508">
        <v>1.1200000000000001</v>
      </c>
      <c r="H157" s="508">
        <v>0.7</v>
      </c>
      <c r="I157" s="400">
        <v>0.93</v>
      </c>
      <c r="J157" s="499">
        <v>3.6999999999999998E-2</v>
      </c>
    </row>
    <row r="158" spans="1:10" ht="35.049999999999997" customHeight="1" x14ac:dyDescent="0.3">
      <c r="A158" s="398" t="s">
        <v>899</v>
      </c>
      <c r="B158" s="17"/>
      <c r="C158" s="520"/>
      <c r="D158" s="501">
        <v>0.69299999999999995</v>
      </c>
      <c r="E158" s="502">
        <v>0.13300000000000001</v>
      </c>
      <c r="F158" s="503">
        <v>1.2E-2</v>
      </c>
      <c r="G158" s="508">
        <v>56.81</v>
      </c>
      <c r="H158" s="508">
        <v>0.7</v>
      </c>
      <c r="I158" s="400">
        <v>0.93</v>
      </c>
      <c r="J158" s="499">
        <v>3.6999999999999998E-2</v>
      </c>
    </row>
    <row r="159" spans="1:10" ht="35.049999999999997" customHeight="1" x14ac:dyDescent="0.3">
      <c r="A159" s="398" t="s">
        <v>900</v>
      </c>
      <c r="B159" s="17"/>
      <c r="C159" s="520"/>
      <c r="D159" s="501">
        <v>0.69299999999999995</v>
      </c>
      <c r="E159" s="502">
        <v>0.13300000000000001</v>
      </c>
      <c r="F159" s="503">
        <v>1.2E-2</v>
      </c>
      <c r="G159" s="508">
        <v>114.06</v>
      </c>
      <c r="H159" s="508">
        <v>0.7</v>
      </c>
      <c r="I159" s="400">
        <v>0.93</v>
      </c>
      <c r="J159" s="499">
        <v>3.6999999999999998E-2</v>
      </c>
    </row>
    <row r="160" spans="1:10" ht="35.049999999999997" customHeight="1" x14ac:dyDescent="0.3">
      <c r="A160" s="398" t="s">
        <v>901</v>
      </c>
      <c r="B160" s="17"/>
      <c r="C160" s="520"/>
      <c r="D160" s="501">
        <v>0.69299999999999995</v>
      </c>
      <c r="E160" s="502">
        <v>0.13300000000000001</v>
      </c>
      <c r="F160" s="503">
        <v>1.2E-2</v>
      </c>
      <c r="G160" s="508">
        <v>180.26</v>
      </c>
      <c r="H160" s="508">
        <v>0.7</v>
      </c>
      <c r="I160" s="400">
        <v>0.93</v>
      </c>
      <c r="J160" s="499">
        <v>3.6999999999999998E-2</v>
      </c>
    </row>
    <row r="161" spans="1:10" ht="35.049999999999997" customHeight="1" x14ac:dyDescent="0.3">
      <c r="A161" s="398" t="s">
        <v>902</v>
      </c>
      <c r="B161" s="17"/>
      <c r="C161" s="520"/>
      <c r="D161" s="501">
        <v>0.69299999999999995</v>
      </c>
      <c r="E161" s="502">
        <v>0.13300000000000001</v>
      </c>
      <c r="F161" s="503">
        <v>1.2E-2</v>
      </c>
      <c r="G161" s="508">
        <v>412.11</v>
      </c>
      <c r="H161" s="508">
        <v>0.7</v>
      </c>
      <c r="I161" s="400">
        <v>0.93</v>
      </c>
      <c r="J161" s="499">
        <v>3.6999999999999998E-2</v>
      </c>
    </row>
    <row r="162" spans="1:10" ht="35.049999999999997" customHeight="1" x14ac:dyDescent="0.3">
      <c r="A162" s="398" t="s">
        <v>903</v>
      </c>
      <c r="B162" s="17"/>
      <c r="C162" s="520"/>
      <c r="D162" s="501">
        <v>0.56100000000000005</v>
      </c>
      <c r="E162" s="502">
        <v>9.6000000000000002E-2</v>
      </c>
      <c r="F162" s="503">
        <v>8.0000000000000002E-3</v>
      </c>
      <c r="G162" s="508">
        <v>16.010000000000002</v>
      </c>
      <c r="H162" s="508">
        <v>0.63</v>
      </c>
      <c r="I162" s="400">
        <v>0.97</v>
      </c>
      <c r="J162" s="499">
        <v>2.5999999999999999E-2</v>
      </c>
    </row>
    <row r="163" spans="1:10" ht="35.049999999999997" customHeight="1" x14ac:dyDescent="0.3">
      <c r="A163" s="398" t="s">
        <v>904</v>
      </c>
      <c r="B163" s="17"/>
      <c r="C163" s="520"/>
      <c r="D163" s="501">
        <v>0.56100000000000005</v>
      </c>
      <c r="E163" s="502">
        <v>9.6000000000000002E-2</v>
      </c>
      <c r="F163" s="503">
        <v>8.0000000000000002E-3</v>
      </c>
      <c r="G163" s="508">
        <v>343.47</v>
      </c>
      <c r="H163" s="508">
        <v>0.63</v>
      </c>
      <c r="I163" s="400">
        <v>0.97</v>
      </c>
      <c r="J163" s="499">
        <v>2.5999999999999999E-2</v>
      </c>
    </row>
    <row r="164" spans="1:10" ht="35.049999999999997" customHeight="1" x14ac:dyDescent="0.3">
      <c r="A164" s="398" t="s">
        <v>905</v>
      </c>
      <c r="B164" s="17"/>
      <c r="C164" s="520"/>
      <c r="D164" s="501">
        <v>0.56100000000000005</v>
      </c>
      <c r="E164" s="502">
        <v>9.6000000000000002E-2</v>
      </c>
      <c r="F164" s="503">
        <v>8.0000000000000002E-3</v>
      </c>
      <c r="G164" s="508">
        <v>1080.01</v>
      </c>
      <c r="H164" s="508">
        <v>0.63</v>
      </c>
      <c r="I164" s="400">
        <v>0.97</v>
      </c>
      <c r="J164" s="499">
        <v>2.5999999999999999E-2</v>
      </c>
    </row>
    <row r="165" spans="1:10" ht="35.049999999999997" customHeight="1" x14ac:dyDescent="0.3">
      <c r="A165" s="398" t="s">
        <v>906</v>
      </c>
      <c r="B165" s="17"/>
      <c r="C165" s="520"/>
      <c r="D165" s="501">
        <v>0.56100000000000005</v>
      </c>
      <c r="E165" s="502">
        <v>9.6000000000000002E-2</v>
      </c>
      <c r="F165" s="503">
        <v>8.0000000000000002E-3</v>
      </c>
      <c r="G165" s="508">
        <v>2341.6999999999998</v>
      </c>
      <c r="H165" s="508">
        <v>0.63</v>
      </c>
      <c r="I165" s="400">
        <v>0.97</v>
      </c>
      <c r="J165" s="499">
        <v>2.5999999999999999E-2</v>
      </c>
    </row>
    <row r="166" spans="1:10" ht="35.049999999999997" customHeight="1" x14ac:dyDescent="0.3">
      <c r="A166" s="398" t="s">
        <v>907</v>
      </c>
      <c r="B166" s="17"/>
      <c r="C166" s="520"/>
      <c r="D166" s="501">
        <v>0.56100000000000005</v>
      </c>
      <c r="E166" s="502">
        <v>9.6000000000000002E-2</v>
      </c>
      <c r="F166" s="503">
        <v>8.0000000000000002E-3</v>
      </c>
      <c r="G166" s="508">
        <v>4571.53</v>
      </c>
      <c r="H166" s="508">
        <v>0.63</v>
      </c>
      <c r="I166" s="400">
        <v>0.97</v>
      </c>
      <c r="J166" s="499">
        <v>2.5999999999999999E-2</v>
      </c>
    </row>
    <row r="167" spans="1:10" ht="35.049999999999997" customHeight="1" x14ac:dyDescent="0.3">
      <c r="A167" s="398" t="s">
        <v>593</v>
      </c>
      <c r="B167" s="17"/>
      <c r="C167" s="520"/>
      <c r="D167" s="504">
        <v>1.4219999999999999</v>
      </c>
      <c r="E167" s="505">
        <v>0.33100000000000002</v>
      </c>
      <c r="F167" s="503">
        <v>0.182</v>
      </c>
      <c r="G167" s="509">
        <v>0</v>
      </c>
      <c r="H167" s="509">
        <v>0</v>
      </c>
      <c r="I167" s="399">
        <v>0</v>
      </c>
      <c r="J167" s="500">
        <v>0</v>
      </c>
    </row>
    <row r="168" spans="1:10" ht="35.049999999999997" customHeight="1" x14ac:dyDescent="0.3">
      <c r="A168" s="398" t="s">
        <v>706</v>
      </c>
      <c r="B168" s="17"/>
      <c r="C168" s="520"/>
      <c r="D168" s="501">
        <v>-0.79300000000000004</v>
      </c>
      <c r="E168" s="502">
        <v>-0.19800000000000001</v>
      </c>
      <c r="F168" s="503">
        <v>-0.02</v>
      </c>
      <c r="G168" s="508">
        <v>0</v>
      </c>
      <c r="H168" s="509">
        <v>0</v>
      </c>
      <c r="I168" s="399">
        <v>0</v>
      </c>
      <c r="J168" s="500">
        <v>0</v>
      </c>
    </row>
    <row r="169" spans="1:10" ht="35.049999999999997" customHeight="1" x14ac:dyDescent="0.3">
      <c r="A169" s="398" t="s">
        <v>707</v>
      </c>
      <c r="B169" s="17"/>
      <c r="C169" s="520"/>
      <c r="D169" s="501">
        <v>-0.79500000000000004</v>
      </c>
      <c r="E169" s="502">
        <v>-0.19</v>
      </c>
      <c r="F169" s="503">
        <v>-1.9E-2</v>
      </c>
      <c r="G169" s="508">
        <v>0</v>
      </c>
      <c r="H169" s="509">
        <v>0</v>
      </c>
      <c r="I169" s="399">
        <v>0</v>
      </c>
      <c r="J169" s="500">
        <v>0</v>
      </c>
    </row>
    <row r="170" spans="1:10" ht="35.049999999999997" customHeight="1" x14ac:dyDescent="0.3">
      <c r="A170" s="398" t="s">
        <v>708</v>
      </c>
      <c r="B170" s="17"/>
      <c r="C170" s="520"/>
      <c r="D170" s="501">
        <v>-0.79300000000000004</v>
      </c>
      <c r="E170" s="502">
        <v>-0.19800000000000001</v>
      </c>
      <c r="F170" s="503">
        <v>-0.02</v>
      </c>
      <c r="G170" s="508">
        <v>0</v>
      </c>
      <c r="H170" s="509">
        <v>0</v>
      </c>
      <c r="I170" s="399">
        <v>0</v>
      </c>
      <c r="J170" s="499">
        <v>4.8000000000000001E-2</v>
      </c>
    </row>
    <row r="171" spans="1:10" ht="35.049999999999997" customHeight="1" x14ac:dyDescent="0.3">
      <c r="A171" s="398" t="s">
        <v>709</v>
      </c>
      <c r="B171" s="17"/>
      <c r="C171" s="520"/>
      <c r="D171" s="501">
        <v>-0.79500000000000004</v>
      </c>
      <c r="E171" s="502">
        <v>-0.19</v>
      </c>
      <c r="F171" s="503">
        <v>-1.9E-2</v>
      </c>
      <c r="G171" s="508">
        <v>0</v>
      </c>
      <c r="H171" s="509">
        <v>0</v>
      </c>
      <c r="I171" s="399">
        <v>0</v>
      </c>
      <c r="J171" s="499">
        <v>4.9000000000000002E-2</v>
      </c>
    </row>
    <row r="172" spans="1:10" ht="35.049999999999997" customHeight="1" x14ac:dyDescent="0.3">
      <c r="A172" s="398" t="s">
        <v>710</v>
      </c>
      <c r="B172" s="17"/>
      <c r="C172" s="520"/>
      <c r="D172" s="501">
        <v>-1.073</v>
      </c>
      <c r="E172" s="502">
        <v>-0.2</v>
      </c>
      <c r="F172" s="503">
        <v>-1.7000000000000001E-2</v>
      </c>
      <c r="G172" s="508">
        <v>21.25</v>
      </c>
      <c r="H172" s="509">
        <v>0</v>
      </c>
      <c r="I172" s="399">
        <v>0</v>
      </c>
      <c r="J172" s="499">
        <v>6.9000000000000006E-2</v>
      </c>
    </row>
    <row r="173" spans="1:10" ht="35.049999999999997" customHeight="1" x14ac:dyDescent="0.3">
      <c r="A173" s="398" t="s">
        <v>908</v>
      </c>
      <c r="B173" s="17"/>
      <c r="C173" s="520"/>
      <c r="D173" s="501">
        <v>0</v>
      </c>
      <c r="E173" s="502">
        <v>0</v>
      </c>
      <c r="F173" s="503">
        <v>0</v>
      </c>
      <c r="G173" s="508">
        <v>0.33</v>
      </c>
      <c r="H173" s="509">
        <v>0</v>
      </c>
      <c r="I173" s="399">
        <v>0</v>
      </c>
      <c r="J173" s="500">
        <v>0</v>
      </c>
    </row>
    <row r="174" spans="1:10" ht="35.049999999999997" customHeight="1" x14ac:dyDescent="0.3">
      <c r="A174" s="398" t="s">
        <v>909</v>
      </c>
      <c r="B174" s="17"/>
      <c r="C174" s="520"/>
      <c r="D174" s="501">
        <v>0</v>
      </c>
      <c r="E174" s="502">
        <v>0</v>
      </c>
      <c r="F174" s="503">
        <v>0</v>
      </c>
      <c r="G174" s="509">
        <v>0</v>
      </c>
      <c r="H174" s="509">
        <v>0</v>
      </c>
      <c r="I174" s="399">
        <v>0</v>
      </c>
      <c r="J174" s="500">
        <v>0</v>
      </c>
    </row>
    <row r="175" spans="1:10" ht="35.049999999999997" customHeight="1" x14ac:dyDescent="0.3">
      <c r="A175" s="398" t="s">
        <v>910</v>
      </c>
      <c r="B175" s="17"/>
      <c r="C175" s="520"/>
      <c r="D175" s="501">
        <v>0</v>
      </c>
      <c r="E175" s="502">
        <v>0</v>
      </c>
      <c r="F175" s="503">
        <v>0</v>
      </c>
      <c r="G175" s="508">
        <v>0.19</v>
      </c>
      <c r="H175" s="509">
        <v>0</v>
      </c>
      <c r="I175" s="399">
        <v>0</v>
      </c>
      <c r="J175" s="500">
        <v>0</v>
      </c>
    </row>
    <row r="176" spans="1:10" ht="35.049999999999997" customHeight="1" x14ac:dyDescent="0.3">
      <c r="A176" s="398" t="s">
        <v>911</v>
      </c>
      <c r="B176" s="17"/>
      <c r="C176" s="520"/>
      <c r="D176" s="501">
        <v>0</v>
      </c>
      <c r="E176" s="502">
        <v>0</v>
      </c>
      <c r="F176" s="503">
        <v>0</v>
      </c>
      <c r="G176" s="508">
        <v>0.19</v>
      </c>
      <c r="H176" s="509">
        <v>0</v>
      </c>
      <c r="I176" s="399">
        <v>0</v>
      </c>
      <c r="J176" s="500">
        <v>0</v>
      </c>
    </row>
    <row r="177" spans="1:10" ht="35.049999999999997" customHeight="1" x14ac:dyDescent="0.3">
      <c r="A177" s="398" t="s">
        <v>912</v>
      </c>
      <c r="B177" s="17"/>
      <c r="C177" s="520"/>
      <c r="D177" s="501">
        <v>0</v>
      </c>
      <c r="E177" s="502">
        <v>0</v>
      </c>
      <c r="F177" s="503">
        <v>0</v>
      </c>
      <c r="G177" s="508">
        <v>0.19</v>
      </c>
      <c r="H177" s="509">
        <v>0</v>
      </c>
      <c r="I177" s="399">
        <v>0</v>
      </c>
      <c r="J177" s="500">
        <v>0</v>
      </c>
    </row>
    <row r="178" spans="1:10" ht="35.049999999999997" customHeight="1" x14ac:dyDescent="0.3">
      <c r="A178" s="398" t="s">
        <v>913</v>
      </c>
      <c r="B178" s="17"/>
      <c r="C178" s="520"/>
      <c r="D178" s="501">
        <v>0</v>
      </c>
      <c r="E178" s="502">
        <v>0</v>
      </c>
      <c r="F178" s="503">
        <v>0</v>
      </c>
      <c r="G178" s="508">
        <v>0.19</v>
      </c>
      <c r="H178" s="509">
        <v>0</v>
      </c>
      <c r="I178" s="399">
        <v>0</v>
      </c>
      <c r="J178" s="500">
        <v>0</v>
      </c>
    </row>
    <row r="179" spans="1:10" ht="35.049999999999997" customHeight="1" x14ac:dyDescent="0.3">
      <c r="A179" s="398" t="s">
        <v>914</v>
      </c>
      <c r="B179" s="17"/>
      <c r="C179" s="520"/>
      <c r="D179" s="501">
        <v>0</v>
      </c>
      <c r="E179" s="502">
        <v>0</v>
      </c>
      <c r="F179" s="503">
        <v>0</v>
      </c>
      <c r="G179" s="508">
        <v>0.19</v>
      </c>
      <c r="H179" s="509">
        <v>0</v>
      </c>
      <c r="I179" s="399">
        <v>0</v>
      </c>
      <c r="J179" s="500">
        <v>0</v>
      </c>
    </row>
    <row r="180" spans="1:10" ht="35.049999999999997" customHeight="1" x14ac:dyDescent="0.3">
      <c r="A180" s="398" t="s">
        <v>594</v>
      </c>
      <c r="B180" s="17"/>
      <c r="C180" s="520"/>
      <c r="D180" s="501">
        <v>0</v>
      </c>
      <c r="E180" s="502">
        <v>0</v>
      </c>
      <c r="F180" s="503">
        <v>0</v>
      </c>
      <c r="G180" s="509">
        <v>0</v>
      </c>
      <c r="H180" s="509">
        <v>0</v>
      </c>
      <c r="I180" s="399">
        <v>0</v>
      </c>
      <c r="J180" s="500">
        <v>0</v>
      </c>
    </row>
    <row r="181" spans="1:10" ht="35.049999999999997" customHeight="1" x14ac:dyDescent="0.3">
      <c r="A181" s="398" t="s">
        <v>915</v>
      </c>
      <c r="B181" s="17"/>
      <c r="C181" s="520"/>
      <c r="D181" s="501">
        <v>0</v>
      </c>
      <c r="E181" s="502">
        <v>0</v>
      </c>
      <c r="F181" s="503">
        <v>0</v>
      </c>
      <c r="G181" s="508">
        <v>0.19</v>
      </c>
      <c r="H181" s="508">
        <v>0</v>
      </c>
      <c r="I181" s="400">
        <v>0</v>
      </c>
      <c r="J181" s="499">
        <v>0</v>
      </c>
    </row>
    <row r="182" spans="1:10" ht="35.049999999999997" customHeight="1" x14ac:dyDescent="0.3">
      <c r="A182" s="398" t="s">
        <v>916</v>
      </c>
      <c r="B182" s="17"/>
      <c r="C182" s="520"/>
      <c r="D182" s="501">
        <v>0</v>
      </c>
      <c r="E182" s="502">
        <v>0</v>
      </c>
      <c r="F182" s="503">
        <v>0</v>
      </c>
      <c r="G182" s="508">
        <v>0.19</v>
      </c>
      <c r="H182" s="508">
        <v>0</v>
      </c>
      <c r="I182" s="400">
        <v>0</v>
      </c>
      <c r="J182" s="499">
        <v>0</v>
      </c>
    </row>
    <row r="183" spans="1:10" ht="35.049999999999997" customHeight="1" x14ac:dyDescent="0.3">
      <c r="A183" s="398" t="s">
        <v>917</v>
      </c>
      <c r="B183" s="17"/>
      <c r="C183" s="520"/>
      <c r="D183" s="501">
        <v>0</v>
      </c>
      <c r="E183" s="502">
        <v>0</v>
      </c>
      <c r="F183" s="503">
        <v>0</v>
      </c>
      <c r="G183" s="508">
        <v>0.19</v>
      </c>
      <c r="H183" s="508">
        <v>0</v>
      </c>
      <c r="I183" s="400">
        <v>0</v>
      </c>
      <c r="J183" s="499">
        <v>0</v>
      </c>
    </row>
    <row r="184" spans="1:10" ht="35.049999999999997" customHeight="1" x14ac:dyDescent="0.3">
      <c r="A184" s="398" t="s">
        <v>918</v>
      </c>
      <c r="B184" s="17"/>
      <c r="C184" s="520"/>
      <c r="D184" s="501">
        <v>0</v>
      </c>
      <c r="E184" s="502">
        <v>0</v>
      </c>
      <c r="F184" s="503">
        <v>0</v>
      </c>
      <c r="G184" s="508">
        <v>0.19</v>
      </c>
      <c r="H184" s="508">
        <v>0</v>
      </c>
      <c r="I184" s="400">
        <v>0</v>
      </c>
      <c r="J184" s="499">
        <v>0</v>
      </c>
    </row>
    <row r="185" spans="1:10" ht="35.049999999999997" customHeight="1" x14ac:dyDescent="0.3">
      <c r="A185" s="398" t="s">
        <v>919</v>
      </c>
      <c r="B185" s="17"/>
      <c r="C185" s="520"/>
      <c r="D185" s="501">
        <v>0</v>
      </c>
      <c r="E185" s="502">
        <v>0</v>
      </c>
      <c r="F185" s="503">
        <v>0</v>
      </c>
      <c r="G185" s="508">
        <v>0.19</v>
      </c>
      <c r="H185" s="508">
        <v>0</v>
      </c>
      <c r="I185" s="400">
        <v>0</v>
      </c>
      <c r="J185" s="499">
        <v>0</v>
      </c>
    </row>
    <row r="186" spans="1:10" ht="35.049999999999997" customHeight="1" x14ac:dyDescent="0.3">
      <c r="A186" s="398" t="s">
        <v>920</v>
      </c>
      <c r="B186" s="17"/>
      <c r="C186" s="520"/>
      <c r="D186" s="501">
        <v>0</v>
      </c>
      <c r="E186" s="502">
        <v>0</v>
      </c>
      <c r="F186" s="503">
        <v>0</v>
      </c>
      <c r="G186" s="508">
        <v>0.19</v>
      </c>
      <c r="H186" s="508">
        <v>0</v>
      </c>
      <c r="I186" s="400">
        <v>0</v>
      </c>
      <c r="J186" s="499">
        <v>0</v>
      </c>
    </row>
    <row r="187" spans="1:10" ht="35.049999999999997" customHeight="1" x14ac:dyDescent="0.3">
      <c r="A187" s="398" t="s">
        <v>921</v>
      </c>
      <c r="B187" s="17"/>
      <c r="C187" s="520"/>
      <c r="D187" s="501">
        <v>0</v>
      </c>
      <c r="E187" s="502">
        <v>0</v>
      </c>
      <c r="F187" s="503">
        <v>0</v>
      </c>
      <c r="G187" s="508">
        <v>0.19</v>
      </c>
      <c r="H187" s="508">
        <v>0</v>
      </c>
      <c r="I187" s="400">
        <v>0</v>
      </c>
      <c r="J187" s="499">
        <v>0</v>
      </c>
    </row>
    <row r="188" spans="1:10" ht="35.049999999999997" customHeight="1" x14ac:dyDescent="0.3">
      <c r="A188" s="398" t="s">
        <v>922</v>
      </c>
      <c r="B188" s="17"/>
      <c r="C188" s="520"/>
      <c r="D188" s="501">
        <v>0</v>
      </c>
      <c r="E188" s="502">
        <v>0</v>
      </c>
      <c r="F188" s="503">
        <v>0</v>
      </c>
      <c r="G188" s="508">
        <v>0.19</v>
      </c>
      <c r="H188" s="508">
        <v>0</v>
      </c>
      <c r="I188" s="400">
        <v>0</v>
      </c>
      <c r="J188" s="499">
        <v>0</v>
      </c>
    </row>
    <row r="189" spans="1:10" ht="35.049999999999997" customHeight="1" x14ac:dyDescent="0.3">
      <c r="A189" s="398" t="s">
        <v>923</v>
      </c>
      <c r="B189" s="17"/>
      <c r="C189" s="520"/>
      <c r="D189" s="501">
        <v>0</v>
      </c>
      <c r="E189" s="502">
        <v>0</v>
      </c>
      <c r="F189" s="503">
        <v>0</v>
      </c>
      <c r="G189" s="508">
        <v>0.19</v>
      </c>
      <c r="H189" s="508">
        <v>0</v>
      </c>
      <c r="I189" s="400">
        <v>0</v>
      </c>
      <c r="J189" s="499">
        <v>0</v>
      </c>
    </row>
    <row r="190" spans="1:10" ht="35.049999999999997" customHeight="1" x14ac:dyDescent="0.3">
      <c r="A190" s="398" t="s">
        <v>924</v>
      </c>
      <c r="B190" s="17"/>
      <c r="C190" s="520"/>
      <c r="D190" s="501">
        <v>0</v>
      </c>
      <c r="E190" s="502">
        <v>0</v>
      </c>
      <c r="F190" s="503">
        <v>0</v>
      </c>
      <c r="G190" s="508">
        <v>0.19</v>
      </c>
      <c r="H190" s="508">
        <v>0</v>
      </c>
      <c r="I190" s="400">
        <v>0</v>
      </c>
      <c r="J190" s="499">
        <v>0</v>
      </c>
    </row>
    <row r="191" spans="1:10" ht="35.049999999999997" customHeight="1" x14ac:dyDescent="0.3">
      <c r="A191" s="398" t="s">
        <v>925</v>
      </c>
      <c r="B191" s="17"/>
      <c r="C191" s="520"/>
      <c r="D191" s="501">
        <v>0</v>
      </c>
      <c r="E191" s="502">
        <v>0</v>
      </c>
      <c r="F191" s="503">
        <v>0</v>
      </c>
      <c r="G191" s="508">
        <v>0.19</v>
      </c>
      <c r="H191" s="508">
        <v>0</v>
      </c>
      <c r="I191" s="400">
        <v>0</v>
      </c>
      <c r="J191" s="499">
        <v>0</v>
      </c>
    </row>
    <row r="192" spans="1:10" ht="35.049999999999997" customHeight="1" x14ac:dyDescent="0.3">
      <c r="A192" s="398" t="s">
        <v>926</v>
      </c>
      <c r="B192" s="17"/>
      <c r="C192" s="520"/>
      <c r="D192" s="501">
        <v>0</v>
      </c>
      <c r="E192" s="502">
        <v>0</v>
      </c>
      <c r="F192" s="503">
        <v>0</v>
      </c>
      <c r="G192" s="508">
        <v>0.19</v>
      </c>
      <c r="H192" s="508">
        <v>0</v>
      </c>
      <c r="I192" s="400">
        <v>0</v>
      </c>
      <c r="J192" s="499">
        <v>0</v>
      </c>
    </row>
    <row r="193" spans="1:10" ht="35.049999999999997" customHeight="1" x14ac:dyDescent="0.3">
      <c r="A193" s="398" t="s">
        <v>927</v>
      </c>
      <c r="B193" s="17"/>
      <c r="C193" s="520"/>
      <c r="D193" s="501">
        <v>0</v>
      </c>
      <c r="E193" s="502">
        <v>0</v>
      </c>
      <c r="F193" s="503">
        <v>0</v>
      </c>
      <c r="G193" s="508">
        <v>0.19</v>
      </c>
      <c r="H193" s="508">
        <v>0</v>
      </c>
      <c r="I193" s="400">
        <v>0</v>
      </c>
      <c r="J193" s="499">
        <v>0</v>
      </c>
    </row>
    <row r="194" spans="1:10" ht="35.049999999999997" customHeight="1" x14ac:dyDescent="0.3">
      <c r="A194" s="398" t="s">
        <v>928</v>
      </c>
      <c r="B194" s="17"/>
      <c r="C194" s="520"/>
      <c r="D194" s="501">
        <v>0</v>
      </c>
      <c r="E194" s="502">
        <v>0</v>
      </c>
      <c r="F194" s="503">
        <v>0</v>
      </c>
      <c r="G194" s="508">
        <v>0.19</v>
      </c>
      <c r="H194" s="508">
        <v>0</v>
      </c>
      <c r="I194" s="400">
        <v>0</v>
      </c>
      <c r="J194" s="499">
        <v>0</v>
      </c>
    </row>
    <row r="195" spans="1:10" ht="35.049999999999997" customHeight="1" x14ac:dyDescent="0.3">
      <c r="A195" s="398" t="s">
        <v>929</v>
      </c>
      <c r="B195" s="17"/>
      <c r="C195" s="520"/>
      <c r="D195" s="501">
        <v>0</v>
      </c>
      <c r="E195" s="502">
        <v>0</v>
      </c>
      <c r="F195" s="503">
        <v>0</v>
      </c>
      <c r="G195" s="508">
        <v>0.19</v>
      </c>
      <c r="H195" s="508">
        <v>0</v>
      </c>
      <c r="I195" s="400">
        <v>0</v>
      </c>
      <c r="J195" s="499">
        <v>0</v>
      </c>
    </row>
    <row r="196" spans="1:10" ht="35.049999999999997" customHeight="1" x14ac:dyDescent="0.3">
      <c r="A196" s="398" t="s">
        <v>595</v>
      </c>
      <c r="B196" s="17"/>
      <c r="C196" s="520"/>
      <c r="D196" s="504">
        <v>0</v>
      </c>
      <c r="E196" s="505">
        <v>0</v>
      </c>
      <c r="F196" s="503">
        <v>0</v>
      </c>
      <c r="G196" s="509">
        <v>0</v>
      </c>
      <c r="H196" s="509">
        <v>0</v>
      </c>
      <c r="I196" s="399">
        <v>0</v>
      </c>
      <c r="J196" s="500">
        <v>0</v>
      </c>
    </row>
    <row r="197" spans="1:10" ht="35.049999999999997" customHeight="1" x14ac:dyDescent="0.3">
      <c r="A197" s="398" t="s">
        <v>711</v>
      </c>
      <c r="B197" s="17"/>
      <c r="C197" s="520"/>
      <c r="D197" s="501">
        <v>0</v>
      </c>
      <c r="E197" s="502">
        <v>0</v>
      </c>
      <c r="F197" s="503">
        <v>0</v>
      </c>
      <c r="G197" s="508">
        <v>0</v>
      </c>
      <c r="H197" s="509">
        <v>0</v>
      </c>
      <c r="I197" s="399">
        <v>0</v>
      </c>
      <c r="J197" s="500">
        <v>0</v>
      </c>
    </row>
    <row r="198" spans="1:10" ht="35.049999999999997" customHeight="1" x14ac:dyDescent="0.3">
      <c r="A198" s="398" t="s">
        <v>712</v>
      </c>
      <c r="B198" s="17"/>
      <c r="C198" s="520"/>
      <c r="D198" s="501">
        <v>0</v>
      </c>
      <c r="E198" s="502">
        <v>0</v>
      </c>
      <c r="F198" s="503">
        <v>0</v>
      </c>
      <c r="G198" s="508">
        <v>0</v>
      </c>
      <c r="H198" s="509">
        <v>0</v>
      </c>
      <c r="I198" s="399">
        <v>0</v>
      </c>
      <c r="J198" s="500">
        <v>0</v>
      </c>
    </row>
    <row r="199" spans="1:10" ht="35.049999999999997" customHeight="1" x14ac:dyDescent="0.3">
      <c r="A199" s="398" t="s">
        <v>713</v>
      </c>
      <c r="B199" s="17"/>
      <c r="C199" s="520"/>
      <c r="D199" s="501">
        <v>0</v>
      </c>
      <c r="E199" s="502">
        <v>0</v>
      </c>
      <c r="F199" s="503">
        <v>0</v>
      </c>
      <c r="G199" s="508">
        <v>0</v>
      </c>
      <c r="H199" s="509">
        <v>0</v>
      </c>
      <c r="I199" s="399">
        <v>0</v>
      </c>
      <c r="J199" s="499">
        <v>0</v>
      </c>
    </row>
    <row r="200" spans="1:10" ht="35.049999999999997" customHeight="1" x14ac:dyDescent="0.3">
      <c r="A200" s="398" t="s">
        <v>714</v>
      </c>
      <c r="B200" s="17"/>
      <c r="C200" s="520"/>
      <c r="D200" s="501">
        <v>0</v>
      </c>
      <c r="E200" s="502">
        <v>0</v>
      </c>
      <c r="F200" s="503">
        <v>0</v>
      </c>
      <c r="G200" s="508">
        <v>0</v>
      </c>
      <c r="H200" s="509">
        <v>0</v>
      </c>
      <c r="I200" s="399">
        <v>0</v>
      </c>
      <c r="J200" s="499">
        <v>0</v>
      </c>
    </row>
    <row r="201" spans="1:10" ht="35.049999999999997" customHeight="1" x14ac:dyDescent="0.3">
      <c r="A201" s="398" t="s">
        <v>715</v>
      </c>
      <c r="B201" s="17"/>
      <c r="C201" s="520"/>
      <c r="D201" s="501">
        <v>0</v>
      </c>
      <c r="E201" s="502">
        <v>0</v>
      </c>
      <c r="F201" s="503">
        <v>0</v>
      </c>
      <c r="G201" s="508">
        <v>0</v>
      </c>
      <c r="H201" s="509">
        <v>0</v>
      </c>
      <c r="I201" s="399">
        <v>0</v>
      </c>
      <c r="J201" s="499">
        <v>0</v>
      </c>
    </row>
  </sheetData>
  <mergeCells count="11">
    <mergeCell ref="F10:G10"/>
    <mergeCell ref="H10:J10"/>
    <mergeCell ref="B8:D8"/>
    <mergeCell ref="F8:G8"/>
    <mergeCell ref="F9:G9"/>
    <mergeCell ref="F7:G7"/>
    <mergeCell ref="F5:G5"/>
    <mergeCell ref="A2:J2"/>
    <mergeCell ref="A4:D4"/>
    <mergeCell ref="F4:J4"/>
    <mergeCell ref="F6:G6"/>
  </mergeCells>
  <hyperlinks>
    <hyperlink ref="A1" location="Overview!A1" display="Back to Overview" xr:uid="{00000000-0004-0000-11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CE728-7085-4522-864E-A318A97F6CD6}">
  <sheetPr codeName="Sheet51">
    <pageSetUpPr fitToPage="1"/>
  </sheetPr>
  <dimension ref="A1:Q201"/>
  <sheetViews>
    <sheetView zoomScale="50" zoomScaleNormal="50" workbookViewId="0">
      <selection activeCell="C10" sqref="C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7" ht="40" customHeight="1" x14ac:dyDescent="0.3">
      <c r="A1" s="30" t="s">
        <v>19</v>
      </c>
      <c r="B1" s="3"/>
      <c r="C1" s="3"/>
      <c r="D1" s="3"/>
      <c r="F1" s="3"/>
      <c r="G1" s="3"/>
      <c r="H1" s="3"/>
      <c r="I1" s="3"/>
      <c r="J1" s="1"/>
      <c r="K1" s="1"/>
    </row>
    <row r="2" spans="1:17" ht="40" customHeight="1" x14ac:dyDescent="0.3">
      <c r="A2" s="612" t="str">
        <f>Overview!B4&amp;" - Effective from "&amp;Overview!D4&amp;" - Final LDNO tariffs in WPD West Midlands Area (GSP Group _E)"</f>
        <v>Indigo Power Limited - Effective from 1 April 2023 - Final LDNO tariffs in WPD West Midlands Area (GSP Group _E)</v>
      </c>
      <c r="B2" s="612"/>
      <c r="C2" s="612"/>
      <c r="D2" s="612"/>
      <c r="E2" s="612"/>
      <c r="F2" s="612"/>
      <c r="G2" s="612"/>
      <c r="H2" s="612"/>
      <c r="I2" s="612"/>
      <c r="J2" s="612"/>
    </row>
    <row r="3" spans="1:17" ht="40" customHeight="1" x14ac:dyDescent="0.3">
      <c r="A3" s="48"/>
      <c r="B3" s="48"/>
      <c r="C3" s="48"/>
      <c r="D3" s="48"/>
      <c r="E3" s="48"/>
      <c r="F3" s="48"/>
      <c r="G3" s="48"/>
      <c r="H3" s="48"/>
      <c r="I3" s="48"/>
      <c r="J3" s="48"/>
    </row>
    <row r="4" spans="1:17" ht="40" customHeight="1" x14ac:dyDescent="0.3">
      <c r="A4" s="552" t="s">
        <v>1208</v>
      </c>
      <c r="B4" s="552"/>
      <c r="C4" s="552"/>
      <c r="D4" s="552"/>
      <c r="E4" s="45"/>
      <c r="F4" s="552" t="s">
        <v>1209</v>
      </c>
      <c r="G4" s="552"/>
      <c r="H4" s="552"/>
      <c r="I4" s="552"/>
      <c r="J4" s="552"/>
      <c r="L4" s="3"/>
    </row>
    <row r="5" spans="1:17" ht="40" customHeight="1" x14ac:dyDescent="0.3">
      <c r="A5" s="470" t="s">
        <v>13</v>
      </c>
      <c r="B5" s="91" t="s">
        <v>299</v>
      </c>
      <c r="C5" s="430" t="s">
        <v>300</v>
      </c>
      <c r="D5" s="92" t="s">
        <v>301</v>
      </c>
      <c r="E5" s="45"/>
      <c r="F5" s="431"/>
      <c r="G5" s="432"/>
      <c r="H5" s="93" t="s">
        <v>305</v>
      </c>
      <c r="I5" s="94" t="s">
        <v>306</v>
      </c>
      <c r="J5" s="92" t="s">
        <v>301</v>
      </c>
      <c r="K5" s="45"/>
      <c r="L5" s="3"/>
      <c r="M5" s="3"/>
    </row>
    <row r="6" spans="1:17" ht="40" customHeight="1" x14ac:dyDescent="0.3">
      <c r="A6" s="469" t="s">
        <v>609</v>
      </c>
      <c r="B6" s="458" t="s">
        <v>467</v>
      </c>
      <c r="C6" s="459" t="s">
        <v>610</v>
      </c>
      <c r="D6" s="348" t="s">
        <v>611</v>
      </c>
      <c r="E6" s="45"/>
      <c r="F6" s="587" t="s">
        <v>468</v>
      </c>
      <c r="G6" s="589"/>
      <c r="H6" s="458" t="s">
        <v>467</v>
      </c>
      <c r="I6" s="458" t="s">
        <v>610</v>
      </c>
      <c r="J6" s="458" t="s">
        <v>611</v>
      </c>
      <c r="K6" s="45"/>
      <c r="L6" s="3"/>
      <c r="M6" s="3"/>
    </row>
    <row r="7" spans="1:17" ht="40" customHeight="1" x14ac:dyDescent="0.3">
      <c r="A7" s="469" t="s">
        <v>612</v>
      </c>
      <c r="B7" s="460" t="s">
        <v>603</v>
      </c>
      <c r="C7" s="461" t="s">
        <v>603</v>
      </c>
      <c r="D7" s="348" t="s">
        <v>613</v>
      </c>
      <c r="E7" s="45"/>
      <c r="F7" s="587" t="s">
        <v>614</v>
      </c>
      <c r="G7" s="589"/>
      <c r="H7" s="460" t="s">
        <v>603</v>
      </c>
      <c r="I7" s="458" t="s">
        <v>615</v>
      </c>
      <c r="J7" s="458" t="s">
        <v>611</v>
      </c>
      <c r="K7" s="45"/>
      <c r="L7" s="3"/>
      <c r="M7" s="3"/>
    </row>
    <row r="8" spans="1:17" ht="40" customHeight="1" x14ac:dyDescent="0.3">
      <c r="A8" s="340" t="s">
        <v>14</v>
      </c>
      <c r="B8" s="587" t="s">
        <v>15</v>
      </c>
      <c r="C8" s="588"/>
      <c r="D8" s="589"/>
      <c r="E8" s="45"/>
      <c r="F8" s="587" t="s">
        <v>612</v>
      </c>
      <c r="G8" s="589"/>
      <c r="H8" s="460" t="s">
        <v>603</v>
      </c>
      <c r="I8" s="460" t="s">
        <v>603</v>
      </c>
      <c r="J8" s="458" t="s">
        <v>613</v>
      </c>
      <c r="K8" s="45"/>
      <c r="L8" s="3"/>
      <c r="M8" s="3"/>
    </row>
    <row r="9" spans="1:17" s="41" customFormat="1" ht="40" customHeight="1" x14ac:dyDescent="0.3">
      <c r="A9" s="462"/>
      <c r="B9" s="462"/>
      <c r="C9" s="650"/>
      <c r="D9" s="651"/>
      <c r="E9" s="45"/>
      <c r="F9" s="587" t="s">
        <v>14</v>
      </c>
      <c r="G9" s="589"/>
      <c r="H9" s="652" t="s">
        <v>15</v>
      </c>
      <c r="I9" s="653"/>
      <c r="J9" s="654"/>
      <c r="K9" s="45"/>
      <c r="L9" s="29"/>
      <c r="M9" s="29"/>
    </row>
    <row r="10" spans="1:17" s="47" customFormat="1" ht="40" customHeight="1" x14ac:dyDescent="0.3">
      <c r="B10" s="45"/>
      <c r="C10" s="518" t="s">
        <v>480</v>
      </c>
      <c r="D10" s="45"/>
      <c r="E10" s="45"/>
      <c r="F10" s="45"/>
      <c r="G10" s="471"/>
      <c r="H10" s="471"/>
      <c r="I10" s="471"/>
      <c r="J10" s="471"/>
      <c r="K10" s="45"/>
      <c r="L10" s="46"/>
    </row>
    <row r="11" spans="1:17" ht="75" customHeight="1" x14ac:dyDescent="0.3">
      <c r="A11" s="18" t="s">
        <v>455</v>
      </c>
      <c r="B11" s="18" t="s">
        <v>31</v>
      </c>
      <c r="C11" s="433" t="s">
        <v>24</v>
      </c>
      <c r="D11" s="374" t="s">
        <v>579</v>
      </c>
      <c r="E11" s="374" t="s">
        <v>580</v>
      </c>
      <c r="F11" s="374" t="s">
        <v>581</v>
      </c>
      <c r="G11" s="466" t="s">
        <v>25</v>
      </c>
      <c r="H11" s="466" t="s">
        <v>26</v>
      </c>
      <c r="I11" s="466" t="s">
        <v>456</v>
      </c>
      <c r="J11" s="466" t="s">
        <v>270</v>
      </c>
    </row>
    <row r="12" spans="1:17" ht="35.049999999999997" customHeight="1" x14ac:dyDescent="0.3">
      <c r="A12" s="398" t="s">
        <v>786</v>
      </c>
      <c r="B12" s="17" t="s">
        <v>480</v>
      </c>
      <c r="C12" s="405" t="s">
        <v>639</v>
      </c>
      <c r="D12" s="481">
        <v>4.3410000000000002</v>
      </c>
      <c r="E12" s="478">
        <v>0.77100000000000002</v>
      </c>
      <c r="F12" s="479">
        <v>9.0999999999999998E-2</v>
      </c>
      <c r="G12" s="480">
        <v>9.85</v>
      </c>
      <c r="H12" s="476">
        <v>0</v>
      </c>
      <c r="I12" s="516">
        <v>0</v>
      </c>
      <c r="J12" s="482">
        <v>0</v>
      </c>
      <c r="K12" s="408"/>
      <c r="L12" s="407"/>
      <c r="M12" s="407"/>
      <c r="N12" s="407"/>
      <c r="O12" s="407"/>
      <c r="P12" s="407"/>
      <c r="Q12" s="407"/>
    </row>
    <row r="13" spans="1:17" ht="35.049999999999997" customHeight="1" x14ac:dyDescent="0.3">
      <c r="A13" s="398" t="s">
        <v>787</v>
      </c>
      <c r="B13" s="17" t="s">
        <v>480</v>
      </c>
      <c r="C13" s="405" t="s">
        <v>575</v>
      </c>
      <c r="D13" s="481">
        <v>4.3410000000000002</v>
      </c>
      <c r="E13" s="478">
        <v>0.77100000000000002</v>
      </c>
      <c r="F13" s="479">
        <v>9.0999999999999998E-2</v>
      </c>
      <c r="G13" s="476">
        <v>0</v>
      </c>
      <c r="H13" s="476">
        <v>0</v>
      </c>
      <c r="I13" s="516">
        <v>0</v>
      </c>
      <c r="J13" s="482">
        <v>0</v>
      </c>
      <c r="K13" s="408"/>
      <c r="L13" s="407"/>
      <c r="M13" s="407"/>
      <c r="N13" s="407"/>
      <c r="O13" s="407"/>
      <c r="P13" s="407"/>
      <c r="Q13" s="407"/>
    </row>
    <row r="14" spans="1:17" ht="35.049999999999997" customHeight="1" x14ac:dyDescent="0.3">
      <c r="A14" s="398" t="s">
        <v>788</v>
      </c>
      <c r="B14" s="17" t="s">
        <v>480</v>
      </c>
      <c r="C14" s="405" t="s">
        <v>640</v>
      </c>
      <c r="D14" s="481">
        <v>4.024</v>
      </c>
      <c r="E14" s="478">
        <v>0.71499999999999997</v>
      </c>
      <c r="F14" s="479">
        <v>8.4000000000000005E-2</v>
      </c>
      <c r="G14" s="480">
        <v>6.95</v>
      </c>
      <c r="H14" s="476">
        <v>0</v>
      </c>
      <c r="I14" s="516">
        <v>0</v>
      </c>
      <c r="J14" s="482">
        <v>0</v>
      </c>
      <c r="K14" s="408"/>
      <c r="L14" s="407"/>
      <c r="M14" s="407"/>
      <c r="N14" s="407"/>
      <c r="O14" s="407"/>
      <c r="P14" s="407"/>
      <c r="Q14" s="407"/>
    </row>
    <row r="15" spans="1:17" ht="35.049999999999997" customHeight="1" x14ac:dyDescent="0.3">
      <c r="A15" s="398" t="s">
        <v>789</v>
      </c>
      <c r="B15" s="17" t="s">
        <v>480</v>
      </c>
      <c r="C15" s="405" t="s">
        <v>640</v>
      </c>
      <c r="D15" s="481">
        <v>4.024</v>
      </c>
      <c r="E15" s="478">
        <v>0.71499999999999997</v>
      </c>
      <c r="F15" s="479">
        <v>8.4000000000000005E-2</v>
      </c>
      <c r="G15" s="480">
        <v>9.5299999999999994</v>
      </c>
      <c r="H15" s="476">
        <v>0</v>
      </c>
      <c r="I15" s="516">
        <v>0</v>
      </c>
      <c r="J15" s="482">
        <v>0</v>
      </c>
      <c r="K15" s="408"/>
      <c r="L15" s="407"/>
      <c r="M15" s="407"/>
      <c r="N15" s="407"/>
      <c r="O15" s="407"/>
      <c r="P15" s="407"/>
      <c r="Q15" s="407"/>
    </row>
    <row r="16" spans="1:17" ht="35.049999999999997" customHeight="1" x14ac:dyDescent="0.3">
      <c r="A16" s="398" t="s">
        <v>790</v>
      </c>
      <c r="B16" s="17" t="s">
        <v>480</v>
      </c>
      <c r="C16" s="405" t="s">
        <v>640</v>
      </c>
      <c r="D16" s="481">
        <v>4.024</v>
      </c>
      <c r="E16" s="478">
        <v>0.71499999999999997</v>
      </c>
      <c r="F16" s="479">
        <v>8.4000000000000005E-2</v>
      </c>
      <c r="G16" s="480">
        <v>19.8</v>
      </c>
      <c r="H16" s="476">
        <v>0</v>
      </c>
      <c r="I16" s="516">
        <v>0</v>
      </c>
      <c r="J16" s="482">
        <v>0</v>
      </c>
      <c r="K16" s="408"/>
      <c r="L16" s="407"/>
      <c r="M16" s="407"/>
      <c r="N16" s="407"/>
      <c r="O16" s="407"/>
      <c r="P16" s="407"/>
      <c r="Q16" s="407"/>
    </row>
    <row r="17" spans="1:17" ht="35.049999999999997" customHeight="1" x14ac:dyDescent="0.3">
      <c r="A17" s="398" t="s">
        <v>791</v>
      </c>
      <c r="B17" s="17" t="s">
        <v>480</v>
      </c>
      <c r="C17" s="405" t="s">
        <v>640</v>
      </c>
      <c r="D17" s="481">
        <v>4.024</v>
      </c>
      <c r="E17" s="478">
        <v>0.71499999999999997</v>
      </c>
      <c r="F17" s="479">
        <v>8.4000000000000005E-2</v>
      </c>
      <c r="G17" s="480">
        <v>37.67</v>
      </c>
      <c r="H17" s="476">
        <v>0</v>
      </c>
      <c r="I17" s="516">
        <v>0</v>
      </c>
      <c r="J17" s="482">
        <v>0</v>
      </c>
      <c r="K17" s="408"/>
      <c r="L17" s="407"/>
      <c r="M17" s="407"/>
      <c r="N17" s="407"/>
      <c r="O17" s="407"/>
      <c r="P17" s="407"/>
      <c r="Q17" s="407"/>
    </row>
    <row r="18" spans="1:17" ht="35.049999999999997" customHeight="1" x14ac:dyDescent="0.3">
      <c r="A18" s="398" t="s">
        <v>792</v>
      </c>
      <c r="B18" s="17" t="s">
        <v>480</v>
      </c>
      <c r="C18" s="405" t="s">
        <v>640</v>
      </c>
      <c r="D18" s="481">
        <v>4.024</v>
      </c>
      <c r="E18" s="478">
        <v>0.71499999999999997</v>
      </c>
      <c r="F18" s="479">
        <v>8.4000000000000005E-2</v>
      </c>
      <c r="G18" s="480">
        <v>108.67</v>
      </c>
      <c r="H18" s="476">
        <v>0</v>
      </c>
      <c r="I18" s="516">
        <v>0</v>
      </c>
      <c r="J18" s="482">
        <v>0</v>
      </c>
      <c r="K18" s="408"/>
      <c r="L18" s="407"/>
      <c r="M18" s="407"/>
      <c r="N18" s="407"/>
      <c r="O18" s="407"/>
      <c r="P18" s="407"/>
      <c r="Q18" s="407"/>
    </row>
    <row r="19" spans="1:17" ht="35.049999999999997" customHeight="1" x14ac:dyDescent="0.3">
      <c r="A19" s="398" t="s">
        <v>582</v>
      </c>
      <c r="B19" s="17" t="s">
        <v>480</v>
      </c>
      <c r="C19" s="405" t="s">
        <v>577</v>
      </c>
      <c r="D19" s="481">
        <v>4.024</v>
      </c>
      <c r="E19" s="478">
        <v>0.71499999999999997</v>
      </c>
      <c r="F19" s="479">
        <v>8.4000000000000005E-2</v>
      </c>
      <c r="G19" s="476">
        <v>0</v>
      </c>
      <c r="H19" s="476">
        <v>0</v>
      </c>
      <c r="I19" s="516">
        <v>0</v>
      </c>
      <c r="J19" s="482">
        <v>0</v>
      </c>
      <c r="K19" s="408"/>
      <c r="L19" s="407"/>
      <c r="M19" s="407"/>
      <c r="N19" s="407"/>
      <c r="O19" s="407"/>
      <c r="P19" s="407"/>
      <c r="Q19" s="407"/>
    </row>
    <row r="20" spans="1:17" ht="35.049999999999997" customHeight="1" x14ac:dyDescent="0.3">
      <c r="A20" s="398" t="s">
        <v>793</v>
      </c>
      <c r="B20" s="17" t="s">
        <v>480</v>
      </c>
      <c r="C20" s="405">
        <v>0</v>
      </c>
      <c r="D20" s="481">
        <v>3.1419999999999999</v>
      </c>
      <c r="E20" s="478">
        <v>0.56299999999999994</v>
      </c>
      <c r="F20" s="479">
        <v>6.3E-2</v>
      </c>
      <c r="G20" s="480">
        <v>9.5399999999999991</v>
      </c>
      <c r="H20" s="480">
        <v>3.26</v>
      </c>
      <c r="I20" s="485">
        <v>5.73</v>
      </c>
      <c r="J20" s="475">
        <v>7.5999999999999998E-2</v>
      </c>
      <c r="K20" s="408"/>
      <c r="L20" s="407"/>
      <c r="M20" s="407"/>
      <c r="N20" s="407"/>
      <c r="O20" s="407"/>
      <c r="P20" s="407"/>
      <c r="Q20" s="407"/>
    </row>
    <row r="21" spans="1:17" ht="35.049999999999997" customHeight="1" x14ac:dyDescent="0.3">
      <c r="A21" s="398" t="s">
        <v>794</v>
      </c>
      <c r="B21" s="17" t="s">
        <v>480</v>
      </c>
      <c r="C21" s="405">
        <v>0</v>
      </c>
      <c r="D21" s="481">
        <v>3.1419999999999999</v>
      </c>
      <c r="E21" s="478">
        <v>0.56299999999999994</v>
      </c>
      <c r="F21" s="479">
        <v>6.3E-2</v>
      </c>
      <c r="G21" s="480">
        <v>177.85</v>
      </c>
      <c r="H21" s="480">
        <v>3.26</v>
      </c>
      <c r="I21" s="485">
        <v>5.73</v>
      </c>
      <c r="J21" s="475">
        <v>7.5999999999999998E-2</v>
      </c>
      <c r="K21" s="408"/>
      <c r="L21" s="407"/>
      <c r="M21" s="407"/>
      <c r="N21" s="407"/>
      <c r="O21" s="407"/>
      <c r="P21" s="407"/>
      <c r="Q21" s="407"/>
    </row>
    <row r="22" spans="1:17" ht="35.049999999999997" customHeight="1" x14ac:dyDescent="0.3">
      <c r="A22" s="398" t="s">
        <v>795</v>
      </c>
      <c r="B22" s="17" t="s">
        <v>480</v>
      </c>
      <c r="C22" s="405">
        <v>0</v>
      </c>
      <c r="D22" s="481">
        <v>3.1419999999999999</v>
      </c>
      <c r="E22" s="478">
        <v>0.56299999999999994</v>
      </c>
      <c r="F22" s="479">
        <v>6.3E-2</v>
      </c>
      <c r="G22" s="480">
        <v>325.58</v>
      </c>
      <c r="H22" s="480">
        <v>3.26</v>
      </c>
      <c r="I22" s="485">
        <v>5.73</v>
      </c>
      <c r="J22" s="475">
        <v>7.5999999999999998E-2</v>
      </c>
      <c r="K22" s="408"/>
      <c r="L22" s="407"/>
      <c r="M22" s="407"/>
      <c r="N22" s="407"/>
      <c r="O22" s="407"/>
      <c r="P22" s="407"/>
      <c r="Q22" s="407"/>
    </row>
    <row r="23" spans="1:17" ht="35.049999999999997" customHeight="1" x14ac:dyDescent="0.3">
      <c r="A23" s="398" t="s">
        <v>796</v>
      </c>
      <c r="B23" s="17" t="s">
        <v>480</v>
      </c>
      <c r="C23" s="405">
        <v>0</v>
      </c>
      <c r="D23" s="481">
        <v>3.1419999999999999</v>
      </c>
      <c r="E23" s="478">
        <v>0.56299999999999994</v>
      </c>
      <c r="F23" s="479">
        <v>6.3E-2</v>
      </c>
      <c r="G23" s="480">
        <v>512.09</v>
      </c>
      <c r="H23" s="480">
        <v>3.26</v>
      </c>
      <c r="I23" s="485">
        <v>5.73</v>
      </c>
      <c r="J23" s="475">
        <v>7.5999999999999998E-2</v>
      </c>
      <c r="K23" s="408"/>
      <c r="L23" s="407"/>
      <c r="M23" s="407"/>
      <c r="N23" s="407"/>
      <c r="O23" s="407"/>
      <c r="P23" s="407"/>
      <c r="Q23" s="407"/>
    </row>
    <row r="24" spans="1:17" ht="35.049999999999997" customHeight="1" x14ac:dyDescent="0.3">
      <c r="A24" s="398" t="s">
        <v>797</v>
      </c>
      <c r="B24" s="17" t="s">
        <v>480</v>
      </c>
      <c r="C24" s="405">
        <v>0</v>
      </c>
      <c r="D24" s="481">
        <v>3.1419999999999999</v>
      </c>
      <c r="E24" s="478">
        <v>0.56299999999999994</v>
      </c>
      <c r="F24" s="479">
        <v>6.3E-2</v>
      </c>
      <c r="G24" s="480">
        <v>881.78</v>
      </c>
      <c r="H24" s="480">
        <v>3.26</v>
      </c>
      <c r="I24" s="485">
        <v>5.73</v>
      </c>
      <c r="J24" s="475">
        <v>7.5999999999999998E-2</v>
      </c>
      <c r="K24" s="408"/>
      <c r="L24" s="407"/>
      <c r="M24" s="407"/>
      <c r="N24" s="407"/>
      <c r="O24" s="407"/>
      <c r="P24" s="407"/>
      <c r="Q24" s="407"/>
    </row>
    <row r="25" spans="1:17" ht="35.049999999999997" customHeight="1" x14ac:dyDescent="0.3">
      <c r="A25" s="398" t="s">
        <v>583</v>
      </c>
      <c r="B25" s="17" t="s">
        <v>480</v>
      </c>
      <c r="C25" s="405" t="s">
        <v>616</v>
      </c>
      <c r="D25" s="477">
        <v>13.561999999999999</v>
      </c>
      <c r="E25" s="483">
        <v>1.9179999999999999</v>
      </c>
      <c r="F25" s="479">
        <v>1.3440000000000001</v>
      </c>
      <c r="G25" s="476">
        <v>0</v>
      </c>
      <c r="H25" s="476">
        <v>0</v>
      </c>
      <c r="I25" s="516">
        <v>0</v>
      </c>
      <c r="J25" s="482">
        <v>0</v>
      </c>
      <c r="K25" s="408"/>
      <c r="L25" s="407"/>
      <c r="M25" s="407"/>
      <c r="N25" s="407"/>
      <c r="O25" s="407"/>
      <c r="P25" s="407"/>
      <c r="Q25" s="407"/>
    </row>
    <row r="26" spans="1:17" ht="35.049999999999997" customHeight="1" x14ac:dyDescent="0.3">
      <c r="A26" s="398" t="s">
        <v>686</v>
      </c>
      <c r="B26" s="17" t="s">
        <v>480</v>
      </c>
      <c r="C26" s="405">
        <v>0</v>
      </c>
      <c r="D26" s="481">
        <v>-4.1870000000000003</v>
      </c>
      <c r="E26" s="478">
        <v>-0.74399999999999999</v>
      </c>
      <c r="F26" s="479">
        <v>-8.6999999999999994E-2</v>
      </c>
      <c r="G26" s="508">
        <v>0</v>
      </c>
      <c r="H26" s="476">
        <v>0</v>
      </c>
      <c r="I26" s="516">
        <v>0</v>
      </c>
      <c r="J26" s="482">
        <v>0</v>
      </c>
      <c r="K26" s="408"/>
      <c r="L26" s="407"/>
      <c r="M26" s="407"/>
      <c r="N26" s="407"/>
      <c r="O26" s="407"/>
      <c r="P26" s="407"/>
      <c r="Q26" s="407"/>
    </row>
    <row r="27" spans="1:17" ht="35.049999999999997" customHeight="1" x14ac:dyDescent="0.3">
      <c r="A27" s="398" t="s">
        <v>687</v>
      </c>
      <c r="B27" s="17" t="s">
        <v>480</v>
      </c>
      <c r="C27" s="405">
        <v>0</v>
      </c>
      <c r="D27" s="481">
        <v>-4.1870000000000003</v>
      </c>
      <c r="E27" s="478">
        <v>-0.74399999999999999</v>
      </c>
      <c r="F27" s="479">
        <v>-8.6999999999999994E-2</v>
      </c>
      <c r="G27" s="508">
        <v>0</v>
      </c>
      <c r="H27" s="476">
        <v>0</v>
      </c>
      <c r="I27" s="516">
        <v>0</v>
      </c>
      <c r="J27" s="475">
        <v>0.13200000000000001</v>
      </c>
      <c r="K27" s="408"/>
      <c r="L27" s="407"/>
      <c r="M27" s="407"/>
      <c r="N27" s="407"/>
      <c r="O27" s="407"/>
      <c r="P27" s="407"/>
      <c r="Q27" s="407"/>
    </row>
    <row r="28" spans="1:17" ht="35.049999999999997" customHeight="1" x14ac:dyDescent="0.3">
      <c r="A28" s="401" t="s">
        <v>798</v>
      </c>
      <c r="B28" s="17" t="s">
        <v>480</v>
      </c>
      <c r="C28" s="405" t="s">
        <v>639</v>
      </c>
      <c r="D28" s="481">
        <v>3.3740000000000001</v>
      </c>
      <c r="E28" s="478">
        <v>0.59899999999999998</v>
      </c>
      <c r="F28" s="479">
        <v>7.0999999999999994E-2</v>
      </c>
      <c r="G28" s="480">
        <v>7.71</v>
      </c>
      <c r="H28" s="476">
        <v>0</v>
      </c>
      <c r="I28" s="516">
        <v>0</v>
      </c>
      <c r="J28" s="482">
        <v>0</v>
      </c>
      <c r="K28" s="408"/>
      <c r="L28" s="407"/>
      <c r="M28" s="407"/>
      <c r="N28" s="407"/>
      <c r="O28" s="407"/>
      <c r="P28" s="407"/>
      <c r="Q28" s="407"/>
    </row>
    <row r="29" spans="1:17" ht="35.049999999999997" customHeight="1" x14ac:dyDescent="0.3">
      <c r="A29" s="401" t="s">
        <v>799</v>
      </c>
      <c r="B29" s="17" t="s">
        <v>480</v>
      </c>
      <c r="C29" s="405" t="s">
        <v>575</v>
      </c>
      <c r="D29" s="481">
        <v>3.3740000000000001</v>
      </c>
      <c r="E29" s="478">
        <v>0.59899999999999998</v>
      </c>
      <c r="F29" s="479">
        <v>7.0999999999999994E-2</v>
      </c>
      <c r="G29" s="476">
        <v>0</v>
      </c>
      <c r="H29" s="476">
        <v>0</v>
      </c>
      <c r="I29" s="516">
        <v>0</v>
      </c>
      <c r="J29" s="482">
        <v>0</v>
      </c>
      <c r="K29" s="408"/>
      <c r="L29" s="407"/>
      <c r="M29" s="407"/>
      <c r="N29" s="407"/>
      <c r="O29" s="407"/>
      <c r="P29" s="407"/>
      <c r="Q29" s="407"/>
    </row>
    <row r="30" spans="1:17" ht="35.049999999999997" customHeight="1" x14ac:dyDescent="0.3">
      <c r="A30" s="401" t="s">
        <v>800</v>
      </c>
      <c r="B30" s="17" t="s">
        <v>480</v>
      </c>
      <c r="C30" s="405" t="s">
        <v>640</v>
      </c>
      <c r="D30" s="481">
        <v>3.1280000000000001</v>
      </c>
      <c r="E30" s="478">
        <v>0.55600000000000005</v>
      </c>
      <c r="F30" s="479">
        <v>6.5000000000000002E-2</v>
      </c>
      <c r="G30" s="480">
        <v>5.43</v>
      </c>
      <c r="H30" s="476">
        <v>0</v>
      </c>
      <c r="I30" s="516">
        <v>0</v>
      </c>
      <c r="J30" s="482">
        <v>0</v>
      </c>
      <c r="K30" s="408"/>
      <c r="L30" s="407"/>
      <c r="M30" s="407"/>
      <c r="N30" s="407"/>
      <c r="O30" s="407"/>
      <c r="P30" s="407"/>
      <c r="Q30" s="407"/>
    </row>
    <row r="31" spans="1:17" ht="35.049999999999997" customHeight="1" x14ac:dyDescent="0.3">
      <c r="A31" s="401" t="s">
        <v>801</v>
      </c>
      <c r="B31" s="17" t="s">
        <v>480</v>
      </c>
      <c r="C31" s="405" t="s">
        <v>640</v>
      </c>
      <c r="D31" s="481">
        <v>3.1280000000000001</v>
      </c>
      <c r="E31" s="478">
        <v>0.55600000000000005</v>
      </c>
      <c r="F31" s="479">
        <v>6.5000000000000002E-2</v>
      </c>
      <c r="G31" s="480">
        <v>7.44</v>
      </c>
      <c r="H31" s="476">
        <v>0</v>
      </c>
      <c r="I31" s="516">
        <v>0</v>
      </c>
      <c r="J31" s="482">
        <v>0</v>
      </c>
      <c r="K31" s="408"/>
      <c r="L31" s="407"/>
      <c r="M31" s="407"/>
      <c r="N31" s="407"/>
      <c r="O31" s="407"/>
      <c r="P31" s="407"/>
      <c r="Q31" s="407"/>
    </row>
    <row r="32" spans="1:17" ht="35.049999999999997" customHeight="1" x14ac:dyDescent="0.3">
      <c r="A32" s="401" t="s">
        <v>802</v>
      </c>
      <c r="B32" s="17" t="s">
        <v>480</v>
      </c>
      <c r="C32" s="405" t="s">
        <v>640</v>
      </c>
      <c r="D32" s="481">
        <v>3.1280000000000001</v>
      </c>
      <c r="E32" s="478">
        <v>0.55600000000000005</v>
      </c>
      <c r="F32" s="479">
        <v>6.5000000000000002E-2</v>
      </c>
      <c r="G32" s="480">
        <v>15.43</v>
      </c>
      <c r="H32" s="476">
        <v>0</v>
      </c>
      <c r="I32" s="516">
        <v>0</v>
      </c>
      <c r="J32" s="482">
        <v>0</v>
      </c>
      <c r="K32" s="408"/>
      <c r="L32" s="407"/>
      <c r="M32" s="407"/>
      <c r="N32" s="407"/>
      <c r="O32" s="407"/>
      <c r="P32" s="407"/>
      <c r="Q32" s="407"/>
    </row>
    <row r="33" spans="1:17" ht="35.049999999999997" customHeight="1" x14ac:dyDescent="0.3">
      <c r="A33" s="401" t="s">
        <v>803</v>
      </c>
      <c r="B33" s="17" t="s">
        <v>480</v>
      </c>
      <c r="C33" s="405" t="s">
        <v>640</v>
      </c>
      <c r="D33" s="481">
        <v>3.1280000000000001</v>
      </c>
      <c r="E33" s="478">
        <v>0.55600000000000005</v>
      </c>
      <c r="F33" s="479">
        <v>6.5000000000000002E-2</v>
      </c>
      <c r="G33" s="480">
        <v>29.31</v>
      </c>
      <c r="H33" s="476">
        <v>0</v>
      </c>
      <c r="I33" s="516">
        <v>0</v>
      </c>
      <c r="J33" s="482">
        <v>0</v>
      </c>
      <c r="K33" s="408"/>
      <c r="L33" s="407"/>
      <c r="M33" s="407"/>
      <c r="N33" s="407"/>
      <c r="O33" s="407"/>
      <c r="P33" s="407"/>
      <c r="Q33" s="407"/>
    </row>
    <row r="34" spans="1:17" ht="35.049999999999997" customHeight="1" x14ac:dyDescent="0.3">
      <c r="A34" s="401" t="s">
        <v>804</v>
      </c>
      <c r="B34" s="17" t="s">
        <v>480</v>
      </c>
      <c r="C34" s="405" t="s">
        <v>640</v>
      </c>
      <c r="D34" s="481">
        <v>3.1280000000000001</v>
      </c>
      <c r="E34" s="478">
        <v>0.55600000000000005</v>
      </c>
      <c r="F34" s="479">
        <v>6.5000000000000002E-2</v>
      </c>
      <c r="G34" s="480">
        <v>84.51</v>
      </c>
      <c r="H34" s="476">
        <v>0</v>
      </c>
      <c r="I34" s="516">
        <v>0</v>
      </c>
      <c r="J34" s="482">
        <v>0</v>
      </c>
      <c r="K34" s="408"/>
      <c r="L34" s="407"/>
      <c r="M34" s="407"/>
      <c r="N34" s="407"/>
      <c r="O34" s="407"/>
      <c r="P34" s="407"/>
      <c r="Q34" s="407"/>
    </row>
    <row r="35" spans="1:17" ht="35.049999999999997" customHeight="1" x14ac:dyDescent="0.3">
      <c r="A35" s="401" t="s">
        <v>584</v>
      </c>
      <c r="B35" s="17" t="s">
        <v>480</v>
      </c>
      <c r="C35" s="405" t="s">
        <v>577</v>
      </c>
      <c r="D35" s="481">
        <v>3.1280000000000001</v>
      </c>
      <c r="E35" s="478">
        <v>0.55600000000000005</v>
      </c>
      <c r="F35" s="479">
        <v>6.5000000000000002E-2</v>
      </c>
      <c r="G35" s="476">
        <v>0</v>
      </c>
      <c r="H35" s="476">
        <v>0</v>
      </c>
      <c r="I35" s="516">
        <v>0</v>
      </c>
      <c r="J35" s="482">
        <v>0</v>
      </c>
      <c r="K35" s="408"/>
      <c r="L35" s="407"/>
      <c r="M35" s="407"/>
      <c r="N35" s="407"/>
      <c r="O35" s="407"/>
      <c r="P35" s="407"/>
      <c r="Q35" s="407"/>
    </row>
    <row r="36" spans="1:17" ht="35.049999999999997" customHeight="1" x14ac:dyDescent="0.3">
      <c r="A36" s="401" t="s">
        <v>805</v>
      </c>
      <c r="B36" s="17" t="s">
        <v>480</v>
      </c>
      <c r="C36" s="405">
        <v>0</v>
      </c>
      <c r="D36" s="481">
        <v>2.4420000000000002</v>
      </c>
      <c r="E36" s="478">
        <v>0.438</v>
      </c>
      <c r="F36" s="479">
        <v>4.9000000000000002E-2</v>
      </c>
      <c r="G36" s="480">
        <v>7.45</v>
      </c>
      <c r="H36" s="480">
        <v>2.54</v>
      </c>
      <c r="I36" s="485">
        <v>4.45</v>
      </c>
      <c r="J36" s="475">
        <v>5.8999999999999997E-2</v>
      </c>
      <c r="K36" s="408"/>
      <c r="L36" s="407"/>
      <c r="M36" s="407"/>
      <c r="N36" s="407"/>
      <c r="O36" s="407"/>
      <c r="P36" s="407"/>
      <c r="Q36" s="407"/>
    </row>
    <row r="37" spans="1:17" ht="35.049999999999997" customHeight="1" x14ac:dyDescent="0.3">
      <c r="A37" s="401" t="s">
        <v>806</v>
      </c>
      <c r="B37" s="17" t="s">
        <v>480</v>
      </c>
      <c r="C37" s="405">
        <v>0</v>
      </c>
      <c r="D37" s="481">
        <v>2.4420000000000002</v>
      </c>
      <c r="E37" s="478">
        <v>0.438</v>
      </c>
      <c r="F37" s="479">
        <v>4.9000000000000002E-2</v>
      </c>
      <c r="G37" s="480">
        <v>138.28</v>
      </c>
      <c r="H37" s="480">
        <v>2.54</v>
      </c>
      <c r="I37" s="485">
        <v>4.45</v>
      </c>
      <c r="J37" s="475">
        <v>5.8999999999999997E-2</v>
      </c>
      <c r="K37" s="408"/>
      <c r="L37" s="407"/>
      <c r="M37" s="407"/>
      <c r="N37" s="407"/>
      <c r="O37" s="407"/>
      <c r="P37" s="407"/>
      <c r="Q37" s="407"/>
    </row>
    <row r="38" spans="1:17" ht="35.049999999999997" customHeight="1" x14ac:dyDescent="0.3">
      <c r="A38" s="401" t="s">
        <v>807</v>
      </c>
      <c r="B38" s="17" t="s">
        <v>480</v>
      </c>
      <c r="C38" s="405">
        <v>0</v>
      </c>
      <c r="D38" s="481">
        <v>2.4420000000000002</v>
      </c>
      <c r="E38" s="478">
        <v>0.438</v>
      </c>
      <c r="F38" s="479">
        <v>4.9000000000000002E-2</v>
      </c>
      <c r="G38" s="480">
        <v>253.12</v>
      </c>
      <c r="H38" s="480">
        <v>2.54</v>
      </c>
      <c r="I38" s="485">
        <v>4.45</v>
      </c>
      <c r="J38" s="475">
        <v>5.8999999999999997E-2</v>
      </c>
      <c r="K38" s="408"/>
      <c r="L38" s="407"/>
      <c r="M38" s="407"/>
      <c r="N38" s="407"/>
      <c r="O38" s="407"/>
      <c r="P38" s="407"/>
      <c r="Q38" s="407"/>
    </row>
    <row r="39" spans="1:17" ht="35.049999999999997" customHeight="1" x14ac:dyDescent="0.3">
      <c r="A39" s="401" t="s">
        <v>808</v>
      </c>
      <c r="B39" s="17" t="s">
        <v>480</v>
      </c>
      <c r="C39" s="405">
        <v>0</v>
      </c>
      <c r="D39" s="481">
        <v>2.4420000000000002</v>
      </c>
      <c r="E39" s="478">
        <v>0.438</v>
      </c>
      <c r="F39" s="479">
        <v>4.9000000000000002E-2</v>
      </c>
      <c r="G39" s="480">
        <v>398.1</v>
      </c>
      <c r="H39" s="480">
        <v>2.54</v>
      </c>
      <c r="I39" s="485">
        <v>4.45</v>
      </c>
      <c r="J39" s="475">
        <v>5.8999999999999997E-2</v>
      </c>
      <c r="K39" s="408"/>
      <c r="L39" s="407"/>
      <c r="M39" s="407"/>
      <c r="N39" s="407"/>
      <c r="O39" s="407"/>
      <c r="P39" s="407"/>
      <c r="Q39" s="407"/>
    </row>
    <row r="40" spans="1:17" ht="35.049999999999997" customHeight="1" x14ac:dyDescent="0.3">
      <c r="A40" s="401" t="s">
        <v>809</v>
      </c>
      <c r="B40" s="17" t="s">
        <v>480</v>
      </c>
      <c r="C40" s="405">
        <v>0</v>
      </c>
      <c r="D40" s="481">
        <v>2.4420000000000002</v>
      </c>
      <c r="E40" s="478">
        <v>0.438</v>
      </c>
      <c r="F40" s="479">
        <v>4.9000000000000002E-2</v>
      </c>
      <c r="G40" s="480">
        <v>685.47</v>
      </c>
      <c r="H40" s="480">
        <v>2.54</v>
      </c>
      <c r="I40" s="485">
        <v>4.45</v>
      </c>
      <c r="J40" s="475">
        <v>5.8999999999999997E-2</v>
      </c>
      <c r="K40" s="408"/>
      <c r="L40" s="407"/>
      <c r="M40" s="407"/>
      <c r="N40" s="407"/>
      <c r="O40" s="407"/>
      <c r="P40" s="407"/>
      <c r="Q40" s="407"/>
    </row>
    <row r="41" spans="1:17" ht="35.049999999999997" customHeight="1" x14ac:dyDescent="0.3">
      <c r="A41" s="401" t="s">
        <v>810</v>
      </c>
      <c r="B41" s="17" t="s">
        <v>480</v>
      </c>
      <c r="C41" s="405">
        <v>0</v>
      </c>
      <c r="D41" s="481">
        <v>1.946</v>
      </c>
      <c r="E41" s="478">
        <v>0.35899999999999999</v>
      </c>
      <c r="F41" s="479">
        <v>3.3000000000000002E-2</v>
      </c>
      <c r="G41" s="480">
        <v>9</v>
      </c>
      <c r="H41" s="480">
        <v>4.2699999999999996</v>
      </c>
      <c r="I41" s="485">
        <v>5.81</v>
      </c>
      <c r="J41" s="475">
        <v>5.6000000000000001E-2</v>
      </c>
      <c r="K41" s="408"/>
      <c r="L41" s="407"/>
      <c r="M41" s="407"/>
      <c r="N41" s="407"/>
      <c r="O41" s="407"/>
      <c r="P41" s="407"/>
      <c r="Q41" s="407"/>
    </row>
    <row r="42" spans="1:17" ht="35.049999999999997" customHeight="1" x14ac:dyDescent="0.3">
      <c r="A42" s="401" t="s">
        <v>811</v>
      </c>
      <c r="B42" s="17" t="s">
        <v>480</v>
      </c>
      <c r="C42" s="405">
        <v>0</v>
      </c>
      <c r="D42" s="481">
        <v>1.946</v>
      </c>
      <c r="E42" s="478">
        <v>0.35899999999999999</v>
      </c>
      <c r="F42" s="479">
        <v>3.3000000000000002E-2</v>
      </c>
      <c r="G42" s="480">
        <v>212.16</v>
      </c>
      <c r="H42" s="480">
        <v>4.2699999999999996</v>
      </c>
      <c r="I42" s="485">
        <v>5.81</v>
      </c>
      <c r="J42" s="475">
        <v>5.6000000000000001E-2</v>
      </c>
      <c r="K42" s="408"/>
      <c r="L42" s="407"/>
      <c r="M42" s="407"/>
      <c r="N42" s="407"/>
      <c r="O42" s="407"/>
      <c r="P42" s="407"/>
      <c r="Q42" s="407"/>
    </row>
    <row r="43" spans="1:17" ht="35.049999999999997" customHeight="1" x14ac:dyDescent="0.3">
      <c r="A43" s="401" t="s">
        <v>812</v>
      </c>
      <c r="B43" s="17" t="s">
        <v>480</v>
      </c>
      <c r="C43" s="405">
        <v>0</v>
      </c>
      <c r="D43" s="481">
        <v>1.946</v>
      </c>
      <c r="E43" s="478">
        <v>0.35899999999999999</v>
      </c>
      <c r="F43" s="479">
        <v>3.3000000000000002E-2</v>
      </c>
      <c r="G43" s="480">
        <v>390.49</v>
      </c>
      <c r="H43" s="480">
        <v>4.2699999999999996</v>
      </c>
      <c r="I43" s="485">
        <v>5.81</v>
      </c>
      <c r="J43" s="475">
        <v>5.6000000000000001E-2</v>
      </c>
      <c r="K43" s="408"/>
      <c r="L43" s="407"/>
      <c r="M43" s="407"/>
      <c r="N43" s="407"/>
      <c r="O43" s="407"/>
      <c r="P43" s="407"/>
      <c r="Q43" s="407"/>
    </row>
    <row r="44" spans="1:17" ht="35.049999999999997" customHeight="1" x14ac:dyDescent="0.3">
      <c r="A44" s="401" t="s">
        <v>813</v>
      </c>
      <c r="B44" s="17" t="s">
        <v>480</v>
      </c>
      <c r="C44" s="405">
        <v>0</v>
      </c>
      <c r="D44" s="481">
        <v>1.946</v>
      </c>
      <c r="E44" s="478">
        <v>0.35899999999999999</v>
      </c>
      <c r="F44" s="479">
        <v>3.3000000000000002E-2</v>
      </c>
      <c r="G44" s="480">
        <v>615.63</v>
      </c>
      <c r="H44" s="480">
        <v>4.2699999999999996</v>
      </c>
      <c r="I44" s="485">
        <v>5.81</v>
      </c>
      <c r="J44" s="475">
        <v>5.6000000000000001E-2</v>
      </c>
      <c r="K44" s="408"/>
      <c r="L44" s="407"/>
      <c r="M44" s="407"/>
      <c r="N44" s="407"/>
      <c r="O44" s="407"/>
      <c r="P44" s="407"/>
      <c r="Q44" s="407"/>
    </row>
    <row r="45" spans="1:17" ht="35.049999999999997" customHeight="1" x14ac:dyDescent="0.3">
      <c r="A45" s="401" t="s">
        <v>814</v>
      </c>
      <c r="B45" s="17" t="s">
        <v>480</v>
      </c>
      <c r="C45" s="405">
        <v>0</v>
      </c>
      <c r="D45" s="481">
        <v>1.946</v>
      </c>
      <c r="E45" s="478">
        <v>0.35899999999999999</v>
      </c>
      <c r="F45" s="479">
        <v>3.3000000000000002E-2</v>
      </c>
      <c r="G45" s="480">
        <v>1061.8800000000001</v>
      </c>
      <c r="H45" s="480">
        <v>4.2699999999999996</v>
      </c>
      <c r="I45" s="485">
        <v>5.81</v>
      </c>
      <c r="J45" s="475">
        <v>5.6000000000000001E-2</v>
      </c>
      <c r="K45" s="408"/>
      <c r="L45" s="407"/>
      <c r="M45" s="407"/>
      <c r="N45" s="407"/>
      <c r="O45" s="407"/>
      <c r="P45" s="407"/>
      <c r="Q45" s="407"/>
    </row>
    <row r="46" spans="1:17" ht="35.049999999999997" customHeight="1" x14ac:dyDescent="0.3">
      <c r="A46" s="401" t="s">
        <v>815</v>
      </c>
      <c r="B46" s="17" t="s">
        <v>480</v>
      </c>
      <c r="C46" s="405">
        <v>0</v>
      </c>
      <c r="D46" s="481">
        <v>1.087</v>
      </c>
      <c r="E46" s="478">
        <v>0.191</v>
      </c>
      <c r="F46" s="479">
        <v>1.6E-2</v>
      </c>
      <c r="G46" s="480">
        <v>93.93</v>
      </c>
      <c r="H46" s="480">
        <v>5.18</v>
      </c>
      <c r="I46" s="485">
        <v>6.74</v>
      </c>
      <c r="J46" s="475">
        <v>2.8000000000000001E-2</v>
      </c>
      <c r="K46" s="408"/>
      <c r="L46" s="407"/>
      <c r="M46" s="407"/>
      <c r="N46" s="407"/>
      <c r="O46" s="407"/>
      <c r="P46" s="407"/>
      <c r="Q46" s="407"/>
    </row>
    <row r="47" spans="1:17" ht="35.049999999999997" customHeight="1" x14ac:dyDescent="0.3">
      <c r="A47" s="401" t="s">
        <v>816</v>
      </c>
      <c r="B47" s="17" t="s">
        <v>480</v>
      </c>
      <c r="C47" s="405">
        <v>0</v>
      </c>
      <c r="D47" s="481">
        <v>1.087</v>
      </c>
      <c r="E47" s="478">
        <v>0.191</v>
      </c>
      <c r="F47" s="479">
        <v>1.6E-2</v>
      </c>
      <c r="G47" s="480">
        <v>1149.99</v>
      </c>
      <c r="H47" s="480">
        <v>5.18</v>
      </c>
      <c r="I47" s="485">
        <v>6.74</v>
      </c>
      <c r="J47" s="475">
        <v>2.8000000000000001E-2</v>
      </c>
      <c r="K47" s="408"/>
      <c r="L47" s="407"/>
      <c r="M47" s="407"/>
      <c r="N47" s="407"/>
      <c r="O47" s="407"/>
      <c r="P47" s="407"/>
      <c r="Q47" s="407"/>
    </row>
    <row r="48" spans="1:17" ht="35.049999999999997" customHeight="1" x14ac:dyDescent="0.3">
      <c r="A48" s="401" t="s">
        <v>817</v>
      </c>
      <c r="B48" s="17" t="s">
        <v>480</v>
      </c>
      <c r="C48" s="405">
        <v>0</v>
      </c>
      <c r="D48" s="481">
        <v>1.087</v>
      </c>
      <c r="E48" s="478">
        <v>0.191</v>
      </c>
      <c r="F48" s="479">
        <v>1.6E-2</v>
      </c>
      <c r="G48" s="480">
        <v>3407.02</v>
      </c>
      <c r="H48" s="480">
        <v>5.18</v>
      </c>
      <c r="I48" s="485">
        <v>6.74</v>
      </c>
      <c r="J48" s="475">
        <v>2.8000000000000001E-2</v>
      </c>
      <c r="K48" s="408"/>
      <c r="L48" s="407"/>
      <c r="M48" s="407"/>
      <c r="N48" s="407"/>
      <c r="O48" s="407"/>
      <c r="P48" s="407"/>
      <c r="Q48" s="407"/>
    </row>
    <row r="49" spans="1:17" ht="35.049999999999997" customHeight="1" x14ac:dyDescent="0.3">
      <c r="A49" s="401" t="s">
        <v>818</v>
      </c>
      <c r="B49" s="17" t="s">
        <v>480</v>
      </c>
      <c r="C49" s="405">
        <v>0</v>
      </c>
      <c r="D49" s="481">
        <v>1.087</v>
      </c>
      <c r="E49" s="478">
        <v>0.191</v>
      </c>
      <c r="F49" s="479">
        <v>1.6E-2</v>
      </c>
      <c r="G49" s="480">
        <v>7490.14</v>
      </c>
      <c r="H49" s="480">
        <v>5.18</v>
      </c>
      <c r="I49" s="485">
        <v>6.74</v>
      </c>
      <c r="J49" s="475">
        <v>2.8000000000000001E-2</v>
      </c>
      <c r="K49" s="408"/>
      <c r="L49" s="407"/>
      <c r="M49" s="407"/>
      <c r="N49" s="407"/>
      <c r="O49" s="407"/>
      <c r="P49" s="407"/>
      <c r="Q49" s="407"/>
    </row>
    <row r="50" spans="1:17" ht="35.049999999999997" customHeight="1" x14ac:dyDescent="0.3">
      <c r="A50" s="401" t="s">
        <v>819</v>
      </c>
      <c r="B50" s="17" t="s">
        <v>480</v>
      </c>
      <c r="C50" s="405">
        <v>0</v>
      </c>
      <c r="D50" s="481">
        <v>1.087</v>
      </c>
      <c r="E50" s="478">
        <v>0.191</v>
      </c>
      <c r="F50" s="479">
        <v>1.6E-2</v>
      </c>
      <c r="G50" s="480">
        <v>23134.03</v>
      </c>
      <c r="H50" s="480">
        <v>5.18</v>
      </c>
      <c r="I50" s="485">
        <v>6.74</v>
      </c>
      <c r="J50" s="475">
        <v>2.8000000000000001E-2</v>
      </c>
      <c r="K50" s="408"/>
      <c r="L50" s="407"/>
      <c r="M50" s="407"/>
      <c r="N50" s="407"/>
      <c r="O50" s="407"/>
      <c r="P50" s="407"/>
      <c r="Q50" s="407"/>
    </row>
    <row r="51" spans="1:17" ht="35.049999999999997" customHeight="1" x14ac:dyDescent="0.3">
      <c r="A51" s="401" t="s">
        <v>585</v>
      </c>
      <c r="B51" s="17" t="s">
        <v>480</v>
      </c>
      <c r="C51" s="405" t="s">
        <v>616</v>
      </c>
      <c r="D51" s="477">
        <v>10.542</v>
      </c>
      <c r="E51" s="483">
        <v>1.4910000000000001</v>
      </c>
      <c r="F51" s="479">
        <v>1.0449999999999999</v>
      </c>
      <c r="G51" s="476">
        <v>0</v>
      </c>
      <c r="H51" s="476">
        <v>0</v>
      </c>
      <c r="I51" s="516">
        <v>0</v>
      </c>
      <c r="J51" s="482">
        <v>0</v>
      </c>
      <c r="K51" s="408"/>
      <c r="L51" s="407"/>
      <c r="M51" s="407"/>
      <c r="N51" s="407"/>
      <c r="O51" s="407"/>
      <c r="P51" s="407"/>
      <c r="Q51" s="407"/>
    </row>
    <row r="52" spans="1:17" ht="35.049999999999997" customHeight="1" x14ac:dyDescent="0.3">
      <c r="A52" s="401" t="s">
        <v>688</v>
      </c>
      <c r="B52" s="17" t="s">
        <v>480</v>
      </c>
      <c r="C52" s="405">
        <v>0</v>
      </c>
      <c r="D52" s="481">
        <v>-4.1870000000000003</v>
      </c>
      <c r="E52" s="478">
        <v>-0.74399999999999999</v>
      </c>
      <c r="F52" s="479">
        <v>-8.6999999999999994E-2</v>
      </c>
      <c r="G52" s="508">
        <v>0</v>
      </c>
      <c r="H52" s="476">
        <v>0</v>
      </c>
      <c r="I52" s="516">
        <v>0</v>
      </c>
      <c r="J52" s="482">
        <v>0</v>
      </c>
      <c r="K52" s="408"/>
      <c r="L52" s="407"/>
      <c r="M52" s="407"/>
      <c r="N52" s="407"/>
      <c r="O52" s="407"/>
      <c r="P52" s="407"/>
      <c r="Q52" s="407"/>
    </row>
    <row r="53" spans="1:17" ht="35.049999999999997" customHeight="1" x14ac:dyDescent="0.3">
      <c r="A53" s="401" t="s">
        <v>689</v>
      </c>
      <c r="B53" s="17" t="s">
        <v>480</v>
      </c>
      <c r="C53" s="405">
        <v>0</v>
      </c>
      <c r="D53" s="481">
        <v>-3.468</v>
      </c>
      <c r="E53" s="478">
        <v>-0.61899999999999999</v>
      </c>
      <c r="F53" s="479">
        <v>-7.0000000000000007E-2</v>
      </c>
      <c r="G53" s="508">
        <v>0</v>
      </c>
      <c r="H53" s="476">
        <v>0</v>
      </c>
      <c r="I53" s="516">
        <v>0</v>
      </c>
      <c r="J53" s="482">
        <v>0</v>
      </c>
      <c r="K53" s="408"/>
      <c r="L53" s="407"/>
      <c r="M53" s="407"/>
      <c r="N53" s="407"/>
      <c r="O53" s="407"/>
      <c r="P53" s="407"/>
      <c r="Q53" s="407"/>
    </row>
    <row r="54" spans="1:17" ht="35.049999999999997" customHeight="1" x14ac:dyDescent="0.3">
      <c r="A54" s="401" t="s">
        <v>599</v>
      </c>
      <c r="B54" s="17" t="s">
        <v>480</v>
      </c>
      <c r="C54" s="405">
        <v>0</v>
      </c>
      <c r="D54" s="481">
        <v>-4.1870000000000003</v>
      </c>
      <c r="E54" s="478">
        <v>-0.74399999999999999</v>
      </c>
      <c r="F54" s="479">
        <v>-8.6999999999999994E-2</v>
      </c>
      <c r="G54" s="508">
        <v>0</v>
      </c>
      <c r="H54" s="476">
        <v>0</v>
      </c>
      <c r="I54" s="516">
        <v>0</v>
      </c>
      <c r="J54" s="475">
        <v>0.13200000000000001</v>
      </c>
      <c r="L54" s="407"/>
      <c r="M54" s="407"/>
      <c r="N54" s="407"/>
      <c r="O54" s="407"/>
      <c r="P54" s="407"/>
      <c r="Q54" s="407"/>
    </row>
    <row r="55" spans="1:17" ht="35.049999999999997" customHeight="1" x14ac:dyDescent="0.3">
      <c r="A55" s="401" t="s">
        <v>690</v>
      </c>
      <c r="B55" s="17" t="s">
        <v>480</v>
      </c>
      <c r="C55" s="405">
        <v>0</v>
      </c>
      <c r="D55" s="481">
        <v>-3.468</v>
      </c>
      <c r="E55" s="478">
        <v>-0.61899999999999999</v>
      </c>
      <c r="F55" s="479">
        <v>-7.0000000000000007E-2</v>
      </c>
      <c r="G55" s="508">
        <v>0</v>
      </c>
      <c r="H55" s="476">
        <v>0</v>
      </c>
      <c r="I55" s="516">
        <v>0</v>
      </c>
      <c r="J55" s="475">
        <v>0.10100000000000001</v>
      </c>
      <c r="L55" s="407"/>
      <c r="M55" s="407"/>
      <c r="N55" s="407"/>
      <c r="O55" s="407"/>
      <c r="P55" s="407"/>
      <c r="Q55" s="407"/>
    </row>
    <row r="56" spans="1:17" ht="35.049999999999997" customHeight="1" x14ac:dyDescent="0.3">
      <c r="A56" s="401" t="s">
        <v>600</v>
      </c>
      <c r="B56" s="17" t="s">
        <v>480</v>
      </c>
      <c r="C56" s="405">
        <v>0</v>
      </c>
      <c r="D56" s="481">
        <v>-1.752</v>
      </c>
      <c r="E56" s="478">
        <v>-0.32200000000000001</v>
      </c>
      <c r="F56" s="479">
        <v>-0.03</v>
      </c>
      <c r="G56" s="508">
        <v>0</v>
      </c>
      <c r="H56" s="476">
        <v>0</v>
      </c>
      <c r="I56" s="516">
        <v>0</v>
      </c>
      <c r="J56" s="475">
        <v>7.8E-2</v>
      </c>
      <c r="L56" s="407"/>
      <c r="M56" s="407"/>
      <c r="N56" s="407"/>
      <c r="O56" s="407"/>
      <c r="P56" s="407"/>
      <c r="Q56" s="407"/>
    </row>
    <row r="57" spans="1:17" ht="35.049999999999997" customHeight="1" x14ac:dyDescent="0.3">
      <c r="A57" s="398" t="s">
        <v>820</v>
      </c>
      <c r="B57" s="17" t="s">
        <v>480</v>
      </c>
      <c r="C57" s="405" t="s">
        <v>639</v>
      </c>
      <c r="D57" s="481">
        <v>2.6880000000000002</v>
      </c>
      <c r="E57" s="478">
        <v>0.47699999999999998</v>
      </c>
      <c r="F57" s="479">
        <v>5.6000000000000001E-2</v>
      </c>
      <c r="G57" s="480">
        <v>6.19</v>
      </c>
      <c r="H57" s="476">
        <v>0</v>
      </c>
      <c r="I57" s="516">
        <v>0</v>
      </c>
      <c r="J57" s="482">
        <v>0</v>
      </c>
      <c r="L57" s="407"/>
      <c r="M57" s="407"/>
      <c r="N57" s="407"/>
      <c r="O57" s="407"/>
      <c r="P57" s="407"/>
      <c r="Q57" s="407"/>
    </row>
    <row r="58" spans="1:17" ht="35.049999999999997" customHeight="1" x14ac:dyDescent="0.3">
      <c r="A58" s="398" t="s">
        <v>821</v>
      </c>
      <c r="B58" s="17" t="s">
        <v>480</v>
      </c>
      <c r="C58" s="405" t="s">
        <v>575</v>
      </c>
      <c r="D58" s="481">
        <v>2.6880000000000002</v>
      </c>
      <c r="E58" s="478">
        <v>0.47699999999999998</v>
      </c>
      <c r="F58" s="479">
        <v>5.6000000000000001E-2</v>
      </c>
      <c r="G58" s="476">
        <v>0</v>
      </c>
      <c r="H58" s="476">
        <v>0</v>
      </c>
      <c r="I58" s="516">
        <v>0</v>
      </c>
      <c r="J58" s="482">
        <v>0</v>
      </c>
      <c r="L58" s="407"/>
      <c r="M58" s="407"/>
      <c r="N58" s="407"/>
      <c r="O58" s="407"/>
      <c r="P58" s="407"/>
      <c r="Q58" s="407"/>
    </row>
    <row r="59" spans="1:17" ht="35.049999999999997" customHeight="1" x14ac:dyDescent="0.3">
      <c r="A59" s="398" t="s">
        <v>822</v>
      </c>
      <c r="B59" s="17" t="s">
        <v>480</v>
      </c>
      <c r="C59" s="405" t="s">
        <v>640</v>
      </c>
      <c r="D59" s="481">
        <v>2.492</v>
      </c>
      <c r="E59" s="478">
        <v>0.443</v>
      </c>
      <c r="F59" s="479">
        <v>5.1999999999999998E-2</v>
      </c>
      <c r="G59" s="480">
        <v>4.3600000000000003</v>
      </c>
      <c r="H59" s="476">
        <v>0</v>
      </c>
      <c r="I59" s="516">
        <v>0</v>
      </c>
      <c r="J59" s="482">
        <v>0</v>
      </c>
      <c r="L59" s="407"/>
      <c r="M59" s="407"/>
      <c r="N59" s="407"/>
      <c r="O59" s="407"/>
      <c r="P59" s="407"/>
      <c r="Q59" s="407"/>
    </row>
    <row r="60" spans="1:17" ht="35.049999999999997" customHeight="1" x14ac:dyDescent="0.3">
      <c r="A60" s="398" t="s">
        <v>823</v>
      </c>
      <c r="B60" s="17" t="s">
        <v>480</v>
      </c>
      <c r="C60" s="405" t="s">
        <v>640</v>
      </c>
      <c r="D60" s="481">
        <v>2.492</v>
      </c>
      <c r="E60" s="478">
        <v>0.443</v>
      </c>
      <c r="F60" s="479">
        <v>5.1999999999999998E-2</v>
      </c>
      <c r="G60" s="480">
        <v>5.96</v>
      </c>
      <c r="H60" s="476">
        <v>0</v>
      </c>
      <c r="I60" s="516">
        <v>0</v>
      </c>
      <c r="J60" s="482">
        <v>0</v>
      </c>
      <c r="L60" s="407"/>
      <c r="M60" s="407"/>
      <c r="N60" s="407"/>
      <c r="O60" s="407"/>
      <c r="P60" s="407"/>
      <c r="Q60" s="407"/>
    </row>
    <row r="61" spans="1:17" ht="35.049999999999997" customHeight="1" x14ac:dyDescent="0.3">
      <c r="A61" s="398" t="s">
        <v>824</v>
      </c>
      <c r="B61" s="17" t="s">
        <v>480</v>
      </c>
      <c r="C61" s="405" t="s">
        <v>640</v>
      </c>
      <c r="D61" s="481">
        <v>2.492</v>
      </c>
      <c r="E61" s="478">
        <v>0.443</v>
      </c>
      <c r="F61" s="479">
        <v>5.1999999999999998E-2</v>
      </c>
      <c r="G61" s="480">
        <v>12.32</v>
      </c>
      <c r="H61" s="476">
        <v>0</v>
      </c>
      <c r="I61" s="516">
        <v>0</v>
      </c>
      <c r="J61" s="482">
        <v>0</v>
      </c>
      <c r="L61" s="407"/>
      <c r="M61" s="407"/>
      <c r="N61" s="407"/>
      <c r="O61" s="407"/>
      <c r="P61" s="407"/>
      <c r="Q61" s="407"/>
    </row>
    <row r="62" spans="1:17" ht="35.049999999999997" customHeight="1" x14ac:dyDescent="0.3">
      <c r="A62" s="398" t="s">
        <v>825</v>
      </c>
      <c r="B62" s="17" t="s">
        <v>480</v>
      </c>
      <c r="C62" s="405" t="s">
        <v>640</v>
      </c>
      <c r="D62" s="481">
        <v>2.492</v>
      </c>
      <c r="E62" s="478">
        <v>0.443</v>
      </c>
      <c r="F62" s="479">
        <v>5.1999999999999998E-2</v>
      </c>
      <c r="G62" s="480">
        <v>23.38</v>
      </c>
      <c r="H62" s="476">
        <v>0</v>
      </c>
      <c r="I62" s="516">
        <v>0</v>
      </c>
      <c r="J62" s="482">
        <v>0</v>
      </c>
      <c r="L62" s="407"/>
      <c r="M62" s="407"/>
      <c r="N62" s="407"/>
      <c r="O62" s="407"/>
      <c r="P62" s="407"/>
      <c r="Q62" s="407"/>
    </row>
    <row r="63" spans="1:17" ht="35.049999999999997" customHeight="1" x14ac:dyDescent="0.3">
      <c r="A63" s="398" t="s">
        <v>826</v>
      </c>
      <c r="B63" s="17" t="s">
        <v>480</v>
      </c>
      <c r="C63" s="405" t="s">
        <v>640</v>
      </c>
      <c r="D63" s="481">
        <v>2.492</v>
      </c>
      <c r="E63" s="478">
        <v>0.443</v>
      </c>
      <c r="F63" s="479">
        <v>5.1999999999999998E-2</v>
      </c>
      <c r="G63" s="480">
        <v>67.349999999999994</v>
      </c>
      <c r="H63" s="476">
        <v>0</v>
      </c>
      <c r="I63" s="516">
        <v>0</v>
      </c>
      <c r="J63" s="482">
        <v>0</v>
      </c>
      <c r="L63" s="407"/>
      <c r="M63" s="407"/>
      <c r="N63" s="407"/>
      <c r="O63" s="407"/>
      <c r="P63" s="407"/>
      <c r="Q63" s="407"/>
    </row>
    <row r="64" spans="1:17" ht="35.049999999999997" customHeight="1" x14ac:dyDescent="0.3">
      <c r="A64" s="398" t="s">
        <v>586</v>
      </c>
      <c r="B64" s="17" t="s">
        <v>480</v>
      </c>
      <c r="C64" s="405" t="s">
        <v>577</v>
      </c>
      <c r="D64" s="481">
        <v>2.492</v>
      </c>
      <c r="E64" s="478">
        <v>0.443</v>
      </c>
      <c r="F64" s="479">
        <v>5.1999999999999998E-2</v>
      </c>
      <c r="G64" s="476">
        <v>0</v>
      </c>
      <c r="H64" s="476">
        <v>0</v>
      </c>
      <c r="I64" s="516">
        <v>0</v>
      </c>
      <c r="J64" s="482">
        <v>0</v>
      </c>
      <c r="L64" s="407"/>
      <c r="M64" s="407"/>
      <c r="N64" s="407"/>
      <c r="O64" s="407"/>
      <c r="P64" s="407"/>
      <c r="Q64" s="407"/>
    </row>
    <row r="65" spans="1:17" ht="35.049999999999997" customHeight="1" x14ac:dyDescent="0.3">
      <c r="A65" s="398" t="s">
        <v>827</v>
      </c>
      <c r="B65" s="17" t="s">
        <v>480</v>
      </c>
      <c r="C65" s="405">
        <v>0</v>
      </c>
      <c r="D65" s="481">
        <v>1.946</v>
      </c>
      <c r="E65" s="478">
        <v>0.34899999999999998</v>
      </c>
      <c r="F65" s="479">
        <v>3.9E-2</v>
      </c>
      <c r="G65" s="480">
        <v>5.96</v>
      </c>
      <c r="H65" s="480">
        <v>2.02</v>
      </c>
      <c r="I65" s="485">
        <v>3.55</v>
      </c>
      <c r="J65" s="475">
        <v>4.7E-2</v>
      </c>
      <c r="L65" s="407"/>
      <c r="M65" s="407"/>
      <c r="N65" s="407"/>
      <c r="O65" s="407"/>
      <c r="P65" s="407"/>
      <c r="Q65" s="407"/>
    </row>
    <row r="66" spans="1:17" ht="35.049999999999997" customHeight="1" x14ac:dyDescent="0.3">
      <c r="A66" s="398" t="s">
        <v>828</v>
      </c>
      <c r="B66" s="17" t="s">
        <v>480</v>
      </c>
      <c r="C66" s="405">
        <v>0</v>
      </c>
      <c r="D66" s="481">
        <v>1.946</v>
      </c>
      <c r="E66" s="478">
        <v>0.34899999999999998</v>
      </c>
      <c r="F66" s="479">
        <v>3.9E-2</v>
      </c>
      <c r="G66" s="480">
        <v>110.19</v>
      </c>
      <c r="H66" s="480">
        <v>2.02</v>
      </c>
      <c r="I66" s="485">
        <v>3.55</v>
      </c>
      <c r="J66" s="475">
        <v>4.7E-2</v>
      </c>
      <c r="L66" s="407"/>
      <c r="M66" s="407"/>
      <c r="N66" s="407"/>
      <c r="O66" s="407"/>
      <c r="P66" s="407"/>
      <c r="Q66" s="407"/>
    </row>
    <row r="67" spans="1:17" ht="35.049999999999997" customHeight="1" x14ac:dyDescent="0.3">
      <c r="A67" s="398" t="s">
        <v>829</v>
      </c>
      <c r="B67" s="17" t="s">
        <v>480</v>
      </c>
      <c r="C67" s="405">
        <v>0</v>
      </c>
      <c r="D67" s="481">
        <v>1.946</v>
      </c>
      <c r="E67" s="478">
        <v>0.34899999999999998</v>
      </c>
      <c r="F67" s="479">
        <v>3.9E-2</v>
      </c>
      <c r="G67" s="480">
        <v>201.66</v>
      </c>
      <c r="H67" s="480">
        <v>2.02</v>
      </c>
      <c r="I67" s="485">
        <v>3.55</v>
      </c>
      <c r="J67" s="475">
        <v>4.7E-2</v>
      </c>
      <c r="L67" s="407"/>
      <c r="M67" s="407"/>
      <c r="N67" s="407"/>
      <c r="O67" s="407"/>
      <c r="P67" s="407"/>
      <c r="Q67" s="407"/>
    </row>
    <row r="68" spans="1:17" ht="35.049999999999997" customHeight="1" x14ac:dyDescent="0.3">
      <c r="A68" s="398" t="s">
        <v>830</v>
      </c>
      <c r="B68" s="17" t="s">
        <v>480</v>
      </c>
      <c r="C68" s="405">
        <v>0</v>
      </c>
      <c r="D68" s="481">
        <v>1.946</v>
      </c>
      <c r="E68" s="478">
        <v>0.34899999999999998</v>
      </c>
      <c r="F68" s="479">
        <v>3.9E-2</v>
      </c>
      <c r="G68" s="480">
        <v>317.14999999999998</v>
      </c>
      <c r="H68" s="480">
        <v>2.02</v>
      </c>
      <c r="I68" s="485">
        <v>3.55</v>
      </c>
      <c r="J68" s="475">
        <v>4.7E-2</v>
      </c>
      <c r="L68" s="407"/>
      <c r="M68" s="407"/>
      <c r="N68" s="407"/>
      <c r="O68" s="407"/>
      <c r="P68" s="407"/>
      <c r="Q68" s="407"/>
    </row>
    <row r="69" spans="1:17" ht="35.049999999999997" customHeight="1" x14ac:dyDescent="0.3">
      <c r="A69" s="398" t="s">
        <v>831</v>
      </c>
      <c r="B69" s="17" t="s">
        <v>480</v>
      </c>
      <c r="C69" s="405">
        <v>0</v>
      </c>
      <c r="D69" s="481">
        <v>1.946</v>
      </c>
      <c r="E69" s="478">
        <v>0.34899999999999998</v>
      </c>
      <c r="F69" s="479">
        <v>3.9E-2</v>
      </c>
      <c r="G69" s="480">
        <v>546.07000000000005</v>
      </c>
      <c r="H69" s="480">
        <v>2.02</v>
      </c>
      <c r="I69" s="485">
        <v>3.55</v>
      </c>
      <c r="J69" s="475">
        <v>4.7E-2</v>
      </c>
      <c r="L69" s="407"/>
      <c r="M69" s="407"/>
      <c r="N69" s="407"/>
      <c r="O69" s="407"/>
      <c r="P69" s="407"/>
      <c r="Q69" s="407"/>
    </row>
    <row r="70" spans="1:17" ht="35.049999999999997" customHeight="1" x14ac:dyDescent="0.3">
      <c r="A70" s="398" t="s">
        <v>832</v>
      </c>
      <c r="B70" s="17" t="s">
        <v>480</v>
      </c>
      <c r="C70" s="405">
        <v>0</v>
      </c>
      <c r="D70" s="481">
        <v>1.5209999999999999</v>
      </c>
      <c r="E70" s="478">
        <v>0.28000000000000003</v>
      </c>
      <c r="F70" s="479">
        <v>2.5999999999999999E-2</v>
      </c>
      <c r="G70" s="480">
        <v>7.06</v>
      </c>
      <c r="H70" s="480">
        <v>3.34</v>
      </c>
      <c r="I70" s="485">
        <v>4.54</v>
      </c>
      <c r="J70" s="475">
        <v>4.3999999999999997E-2</v>
      </c>
      <c r="L70" s="407"/>
      <c r="M70" s="407"/>
      <c r="N70" s="407"/>
      <c r="O70" s="407"/>
      <c r="P70" s="407"/>
      <c r="Q70" s="407"/>
    </row>
    <row r="71" spans="1:17" ht="35.049999999999997" customHeight="1" x14ac:dyDescent="0.3">
      <c r="A71" s="398" t="s">
        <v>833</v>
      </c>
      <c r="B71" s="17" t="s">
        <v>480</v>
      </c>
      <c r="C71" s="405">
        <v>0</v>
      </c>
      <c r="D71" s="481">
        <v>1.5209999999999999</v>
      </c>
      <c r="E71" s="478">
        <v>0.28000000000000003</v>
      </c>
      <c r="F71" s="479">
        <v>2.5999999999999999E-2</v>
      </c>
      <c r="G71" s="480">
        <v>165.84</v>
      </c>
      <c r="H71" s="480">
        <v>3.34</v>
      </c>
      <c r="I71" s="485">
        <v>4.54</v>
      </c>
      <c r="J71" s="475">
        <v>4.3999999999999997E-2</v>
      </c>
      <c r="L71" s="407"/>
      <c r="M71" s="407"/>
      <c r="N71" s="407"/>
      <c r="O71" s="407"/>
      <c r="P71" s="407"/>
      <c r="Q71" s="407"/>
    </row>
    <row r="72" spans="1:17" ht="35.049999999999997" customHeight="1" x14ac:dyDescent="0.3">
      <c r="A72" s="398" t="s">
        <v>834</v>
      </c>
      <c r="B72" s="17" t="s">
        <v>480</v>
      </c>
      <c r="C72" s="405">
        <v>0</v>
      </c>
      <c r="D72" s="481">
        <v>1.5209999999999999</v>
      </c>
      <c r="E72" s="478">
        <v>0.28000000000000003</v>
      </c>
      <c r="F72" s="479">
        <v>2.5999999999999999E-2</v>
      </c>
      <c r="G72" s="480">
        <v>305.20999999999998</v>
      </c>
      <c r="H72" s="480">
        <v>3.34</v>
      </c>
      <c r="I72" s="485">
        <v>4.54</v>
      </c>
      <c r="J72" s="475">
        <v>4.3999999999999997E-2</v>
      </c>
      <c r="L72" s="407"/>
      <c r="M72" s="407"/>
      <c r="N72" s="407"/>
      <c r="O72" s="407"/>
      <c r="P72" s="407"/>
      <c r="Q72" s="407"/>
    </row>
    <row r="73" spans="1:17" ht="35.049999999999997" customHeight="1" x14ac:dyDescent="0.3">
      <c r="A73" s="398" t="s">
        <v>835</v>
      </c>
      <c r="B73" s="17" t="s">
        <v>480</v>
      </c>
      <c r="C73" s="405">
        <v>0</v>
      </c>
      <c r="D73" s="481">
        <v>1.5209999999999999</v>
      </c>
      <c r="E73" s="478">
        <v>0.28000000000000003</v>
      </c>
      <c r="F73" s="479">
        <v>2.5999999999999999E-2</v>
      </c>
      <c r="G73" s="480">
        <v>481.16</v>
      </c>
      <c r="H73" s="480">
        <v>3.34</v>
      </c>
      <c r="I73" s="485">
        <v>4.54</v>
      </c>
      <c r="J73" s="475">
        <v>4.3999999999999997E-2</v>
      </c>
      <c r="L73" s="407"/>
      <c r="M73" s="407"/>
      <c r="N73" s="407"/>
      <c r="O73" s="407"/>
      <c r="P73" s="407"/>
      <c r="Q73" s="407"/>
    </row>
    <row r="74" spans="1:17" ht="35.049999999999997" customHeight="1" x14ac:dyDescent="0.3">
      <c r="A74" s="398" t="s">
        <v>836</v>
      </c>
      <c r="B74" s="17" t="s">
        <v>480</v>
      </c>
      <c r="C74" s="405">
        <v>0</v>
      </c>
      <c r="D74" s="481">
        <v>1.5209999999999999</v>
      </c>
      <c r="E74" s="478">
        <v>0.28000000000000003</v>
      </c>
      <c r="F74" s="479">
        <v>2.5999999999999999E-2</v>
      </c>
      <c r="G74" s="480">
        <v>829.91</v>
      </c>
      <c r="H74" s="480">
        <v>3.34</v>
      </c>
      <c r="I74" s="485">
        <v>4.54</v>
      </c>
      <c r="J74" s="475">
        <v>4.3999999999999997E-2</v>
      </c>
      <c r="L74" s="407"/>
      <c r="M74" s="407"/>
      <c r="N74" s="407"/>
      <c r="O74" s="407"/>
      <c r="P74" s="407"/>
      <c r="Q74" s="407"/>
    </row>
    <row r="75" spans="1:17" ht="35.049999999999997" customHeight="1" x14ac:dyDescent="0.3">
      <c r="A75" s="398" t="s">
        <v>837</v>
      </c>
      <c r="B75" s="17" t="s">
        <v>480</v>
      </c>
      <c r="C75" s="405">
        <v>0</v>
      </c>
      <c r="D75" s="481">
        <v>0.84199999999999997</v>
      </c>
      <c r="E75" s="478">
        <v>0.14799999999999999</v>
      </c>
      <c r="F75" s="479">
        <v>1.2E-2</v>
      </c>
      <c r="G75" s="480">
        <v>72.86</v>
      </c>
      <c r="H75" s="480">
        <v>4.01</v>
      </c>
      <c r="I75" s="485">
        <v>5.22</v>
      </c>
      <c r="J75" s="475">
        <v>2.1999999999999999E-2</v>
      </c>
      <c r="L75" s="407"/>
      <c r="M75" s="407"/>
      <c r="N75" s="407"/>
      <c r="O75" s="407"/>
      <c r="P75" s="407"/>
      <c r="Q75" s="407"/>
    </row>
    <row r="76" spans="1:17" ht="35.049999999999997" customHeight="1" x14ac:dyDescent="0.3">
      <c r="A76" s="398" t="s">
        <v>838</v>
      </c>
      <c r="B76" s="17" t="s">
        <v>480</v>
      </c>
      <c r="C76" s="405">
        <v>0</v>
      </c>
      <c r="D76" s="481">
        <v>0.84199999999999997</v>
      </c>
      <c r="E76" s="478">
        <v>0.14799999999999999</v>
      </c>
      <c r="F76" s="479">
        <v>1.2E-2</v>
      </c>
      <c r="G76" s="480">
        <v>891.61</v>
      </c>
      <c r="H76" s="480">
        <v>4.01</v>
      </c>
      <c r="I76" s="485">
        <v>5.22</v>
      </c>
      <c r="J76" s="475">
        <v>2.1999999999999999E-2</v>
      </c>
      <c r="L76" s="407"/>
      <c r="M76" s="407"/>
      <c r="N76" s="407"/>
      <c r="O76" s="407"/>
      <c r="P76" s="407"/>
      <c r="Q76" s="407"/>
    </row>
    <row r="77" spans="1:17" ht="35.049999999999997" customHeight="1" x14ac:dyDescent="0.3">
      <c r="A77" s="398" t="s">
        <v>839</v>
      </c>
      <c r="B77" s="17" t="s">
        <v>480</v>
      </c>
      <c r="C77" s="405">
        <v>0</v>
      </c>
      <c r="D77" s="481">
        <v>0.84199999999999997</v>
      </c>
      <c r="E77" s="478">
        <v>0.14799999999999999</v>
      </c>
      <c r="F77" s="479">
        <v>1.2E-2</v>
      </c>
      <c r="G77" s="480">
        <v>2641.46</v>
      </c>
      <c r="H77" s="480">
        <v>4.01</v>
      </c>
      <c r="I77" s="485">
        <v>5.22</v>
      </c>
      <c r="J77" s="475">
        <v>2.1999999999999999E-2</v>
      </c>
      <c r="L77" s="407"/>
      <c r="M77" s="407"/>
      <c r="N77" s="407"/>
      <c r="O77" s="407"/>
      <c r="P77" s="407"/>
      <c r="Q77" s="407"/>
    </row>
    <row r="78" spans="1:17" ht="35.049999999999997" customHeight="1" x14ac:dyDescent="0.3">
      <c r="A78" s="398" t="s">
        <v>840</v>
      </c>
      <c r="B78" s="17" t="s">
        <v>480</v>
      </c>
      <c r="C78" s="405">
        <v>0</v>
      </c>
      <c r="D78" s="481">
        <v>0.84199999999999997</v>
      </c>
      <c r="E78" s="478">
        <v>0.14799999999999999</v>
      </c>
      <c r="F78" s="479">
        <v>1.2E-2</v>
      </c>
      <c r="G78" s="480">
        <v>5807.05</v>
      </c>
      <c r="H78" s="480">
        <v>4.01</v>
      </c>
      <c r="I78" s="485">
        <v>5.22</v>
      </c>
      <c r="J78" s="475">
        <v>2.1999999999999999E-2</v>
      </c>
      <c r="L78" s="407"/>
      <c r="M78" s="407"/>
      <c r="N78" s="407"/>
      <c r="O78" s="407"/>
      <c r="P78" s="407"/>
      <c r="Q78" s="407"/>
    </row>
    <row r="79" spans="1:17" ht="35.049999999999997" customHeight="1" x14ac:dyDescent="0.3">
      <c r="A79" s="398" t="s">
        <v>841</v>
      </c>
      <c r="B79" s="17" t="s">
        <v>480</v>
      </c>
      <c r="C79" s="405">
        <v>0</v>
      </c>
      <c r="D79" s="481">
        <v>0.84199999999999997</v>
      </c>
      <c r="E79" s="478">
        <v>0.14799999999999999</v>
      </c>
      <c r="F79" s="479">
        <v>1.2E-2</v>
      </c>
      <c r="G79" s="480">
        <v>17935.580000000002</v>
      </c>
      <c r="H79" s="480">
        <v>4.01</v>
      </c>
      <c r="I79" s="485">
        <v>5.22</v>
      </c>
      <c r="J79" s="475">
        <v>2.1999999999999999E-2</v>
      </c>
      <c r="L79" s="407"/>
      <c r="M79" s="407"/>
      <c r="N79" s="407"/>
      <c r="O79" s="407"/>
      <c r="P79" s="407"/>
      <c r="Q79" s="407"/>
    </row>
    <row r="80" spans="1:17" ht="35.049999999999997" customHeight="1" x14ac:dyDescent="0.3">
      <c r="A80" s="398" t="s">
        <v>587</v>
      </c>
      <c r="B80" s="17" t="s">
        <v>480</v>
      </c>
      <c r="C80" s="405" t="s">
        <v>616</v>
      </c>
      <c r="D80" s="477">
        <v>8.3979999999999997</v>
      </c>
      <c r="E80" s="483">
        <v>1.1879999999999999</v>
      </c>
      <c r="F80" s="479">
        <v>0.83199999999999996</v>
      </c>
      <c r="G80" s="476">
        <v>0</v>
      </c>
      <c r="H80" s="476">
        <v>0</v>
      </c>
      <c r="I80" s="516">
        <v>0</v>
      </c>
      <c r="J80" s="482">
        <v>0</v>
      </c>
      <c r="L80" s="407"/>
      <c r="M80" s="407"/>
      <c r="N80" s="407"/>
      <c r="O80" s="407"/>
      <c r="P80" s="407"/>
      <c r="Q80" s="407"/>
    </row>
    <row r="81" spans="1:17" ht="35.049999999999997" customHeight="1" x14ac:dyDescent="0.3">
      <c r="A81" s="398" t="s">
        <v>691</v>
      </c>
      <c r="B81" s="17" t="s">
        <v>480</v>
      </c>
      <c r="C81" s="405">
        <v>0</v>
      </c>
      <c r="D81" s="481">
        <v>-2.6150000000000002</v>
      </c>
      <c r="E81" s="478">
        <v>-0.46400000000000002</v>
      </c>
      <c r="F81" s="479">
        <v>-5.5E-2</v>
      </c>
      <c r="G81" s="508">
        <v>0</v>
      </c>
      <c r="H81" s="476">
        <v>0</v>
      </c>
      <c r="I81" s="516">
        <v>0</v>
      </c>
      <c r="J81" s="482">
        <v>0</v>
      </c>
      <c r="L81" s="407"/>
      <c r="M81" s="407"/>
      <c r="N81" s="407"/>
      <c r="O81" s="407"/>
      <c r="P81" s="407"/>
      <c r="Q81" s="407"/>
    </row>
    <row r="82" spans="1:17" ht="35.049999999999997" customHeight="1" x14ac:dyDescent="0.3">
      <c r="A82" s="398" t="s">
        <v>692</v>
      </c>
      <c r="B82" s="17" t="s">
        <v>480</v>
      </c>
      <c r="C82" s="405">
        <v>0</v>
      </c>
      <c r="D82" s="481">
        <v>-2.4689999999999999</v>
      </c>
      <c r="E82" s="478">
        <v>-0.441</v>
      </c>
      <c r="F82" s="479">
        <v>-0.05</v>
      </c>
      <c r="G82" s="508">
        <v>0</v>
      </c>
      <c r="H82" s="476">
        <v>0</v>
      </c>
      <c r="I82" s="516">
        <v>0</v>
      </c>
      <c r="J82" s="482">
        <v>0</v>
      </c>
      <c r="L82" s="407"/>
      <c r="M82" s="407"/>
      <c r="N82" s="407"/>
      <c r="O82" s="407"/>
      <c r="P82" s="407"/>
      <c r="Q82" s="407"/>
    </row>
    <row r="83" spans="1:17" ht="35.049999999999997" customHeight="1" x14ac:dyDescent="0.3">
      <c r="A83" s="398" t="s">
        <v>693</v>
      </c>
      <c r="B83" s="17" t="s">
        <v>480</v>
      </c>
      <c r="C83" s="405">
        <v>0</v>
      </c>
      <c r="D83" s="481">
        <v>-2.6150000000000002</v>
      </c>
      <c r="E83" s="478">
        <v>-0.46400000000000002</v>
      </c>
      <c r="F83" s="479">
        <v>-5.5E-2</v>
      </c>
      <c r="G83" s="508">
        <v>0</v>
      </c>
      <c r="H83" s="476">
        <v>0</v>
      </c>
      <c r="I83" s="516">
        <v>0</v>
      </c>
      <c r="J83" s="475">
        <v>8.2000000000000003E-2</v>
      </c>
      <c r="L83" s="407"/>
      <c r="M83" s="407"/>
      <c r="N83" s="407"/>
      <c r="O83" s="407"/>
      <c r="P83" s="407"/>
      <c r="Q83" s="407"/>
    </row>
    <row r="84" spans="1:17" ht="35.049999999999997" customHeight="1" x14ac:dyDescent="0.3">
      <c r="A84" s="398" t="s">
        <v>694</v>
      </c>
      <c r="B84" s="17" t="s">
        <v>480</v>
      </c>
      <c r="C84" s="405">
        <v>0</v>
      </c>
      <c r="D84" s="481">
        <v>-2.4689999999999999</v>
      </c>
      <c r="E84" s="478">
        <v>-0.441</v>
      </c>
      <c r="F84" s="479">
        <v>-0.05</v>
      </c>
      <c r="G84" s="508">
        <v>0</v>
      </c>
      <c r="H84" s="476">
        <v>0</v>
      </c>
      <c r="I84" s="516">
        <v>0</v>
      </c>
      <c r="J84" s="475">
        <v>7.1999999999999995E-2</v>
      </c>
      <c r="L84" s="407"/>
      <c r="M84" s="407"/>
      <c r="N84" s="407"/>
      <c r="O84" s="407"/>
      <c r="P84" s="407"/>
      <c r="Q84" s="407"/>
    </row>
    <row r="85" spans="1:17" ht="35.049999999999997" customHeight="1" x14ac:dyDescent="0.3">
      <c r="A85" s="398" t="s">
        <v>695</v>
      </c>
      <c r="B85" s="17" t="s">
        <v>480</v>
      </c>
      <c r="C85" s="405">
        <v>0</v>
      </c>
      <c r="D85" s="481">
        <v>-1.752</v>
      </c>
      <c r="E85" s="478">
        <v>-0.32200000000000001</v>
      </c>
      <c r="F85" s="479">
        <v>-0.03</v>
      </c>
      <c r="G85" s="480">
        <v>63.9</v>
      </c>
      <c r="H85" s="476">
        <v>0</v>
      </c>
      <c r="I85" s="516">
        <v>0</v>
      </c>
      <c r="J85" s="475">
        <v>7.8E-2</v>
      </c>
      <c r="L85" s="407"/>
      <c r="M85" s="407"/>
      <c r="N85" s="407"/>
      <c r="O85" s="407"/>
      <c r="P85" s="407"/>
      <c r="Q85" s="407"/>
    </row>
    <row r="86" spans="1:17" ht="35.049999999999997" customHeight="1" x14ac:dyDescent="0.3">
      <c r="A86" s="398" t="s">
        <v>842</v>
      </c>
      <c r="B86" s="17" t="s">
        <v>480</v>
      </c>
      <c r="C86" s="405" t="s">
        <v>639</v>
      </c>
      <c r="D86" s="481">
        <v>2.1709999999999998</v>
      </c>
      <c r="E86" s="478">
        <v>0.38600000000000001</v>
      </c>
      <c r="F86" s="479">
        <v>4.4999999999999998E-2</v>
      </c>
      <c r="G86" s="480">
        <v>5.05</v>
      </c>
      <c r="H86" s="476">
        <v>0</v>
      </c>
      <c r="I86" s="516">
        <v>0</v>
      </c>
      <c r="J86" s="482">
        <v>0</v>
      </c>
      <c r="L86" s="407"/>
      <c r="M86" s="407"/>
      <c r="N86" s="407"/>
      <c r="O86" s="407"/>
      <c r="P86" s="407"/>
      <c r="Q86" s="407"/>
    </row>
    <row r="87" spans="1:17" ht="35.049999999999997" customHeight="1" x14ac:dyDescent="0.3">
      <c r="A87" s="398" t="s">
        <v>843</v>
      </c>
      <c r="B87" s="17" t="s">
        <v>480</v>
      </c>
      <c r="C87" s="405" t="s">
        <v>575</v>
      </c>
      <c r="D87" s="481">
        <v>2.1709999999999998</v>
      </c>
      <c r="E87" s="478">
        <v>0.38600000000000001</v>
      </c>
      <c r="F87" s="479">
        <v>4.4999999999999998E-2</v>
      </c>
      <c r="G87" s="476">
        <v>0</v>
      </c>
      <c r="H87" s="476">
        <v>0</v>
      </c>
      <c r="I87" s="516">
        <v>0</v>
      </c>
      <c r="J87" s="482">
        <v>0</v>
      </c>
      <c r="L87" s="407"/>
      <c r="M87" s="407"/>
      <c r="N87" s="407"/>
      <c r="O87" s="407"/>
      <c r="P87" s="407"/>
      <c r="Q87" s="407"/>
    </row>
    <row r="88" spans="1:17" ht="35.049999999999997" customHeight="1" x14ac:dyDescent="0.3">
      <c r="A88" s="398" t="s">
        <v>844</v>
      </c>
      <c r="B88" s="17" t="s">
        <v>480</v>
      </c>
      <c r="C88" s="405" t="s">
        <v>640</v>
      </c>
      <c r="D88" s="481">
        <v>2.0129999999999999</v>
      </c>
      <c r="E88" s="478">
        <v>0.35699999999999998</v>
      </c>
      <c r="F88" s="479">
        <v>4.2000000000000003E-2</v>
      </c>
      <c r="G88" s="480">
        <v>3.55</v>
      </c>
      <c r="H88" s="476">
        <v>0</v>
      </c>
      <c r="I88" s="516">
        <v>0</v>
      </c>
      <c r="J88" s="482">
        <v>0</v>
      </c>
      <c r="L88" s="407"/>
      <c r="M88" s="407"/>
      <c r="N88" s="407"/>
      <c r="O88" s="407"/>
      <c r="P88" s="407"/>
      <c r="Q88" s="407"/>
    </row>
    <row r="89" spans="1:17" ht="35.049999999999997" customHeight="1" x14ac:dyDescent="0.3">
      <c r="A89" s="398" t="s">
        <v>845</v>
      </c>
      <c r="B89" s="17" t="s">
        <v>480</v>
      </c>
      <c r="C89" s="405" t="s">
        <v>640</v>
      </c>
      <c r="D89" s="481">
        <v>2.0129999999999999</v>
      </c>
      <c r="E89" s="478">
        <v>0.35699999999999998</v>
      </c>
      <c r="F89" s="479">
        <v>4.2000000000000003E-2</v>
      </c>
      <c r="G89" s="480">
        <v>4.84</v>
      </c>
      <c r="H89" s="476">
        <v>0</v>
      </c>
      <c r="I89" s="516">
        <v>0</v>
      </c>
      <c r="J89" s="482">
        <v>0</v>
      </c>
      <c r="L89" s="407"/>
      <c r="M89" s="407"/>
      <c r="N89" s="407"/>
      <c r="O89" s="407"/>
      <c r="P89" s="407"/>
      <c r="Q89" s="407"/>
    </row>
    <row r="90" spans="1:17" ht="35.049999999999997" customHeight="1" x14ac:dyDescent="0.3">
      <c r="A90" s="398" t="s">
        <v>846</v>
      </c>
      <c r="B90" s="17" t="s">
        <v>480</v>
      </c>
      <c r="C90" s="405" t="s">
        <v>640</v>
      </c>
      <c r="D90" s="481">
        <v>2.0129999999999999</v>
      </c>
      <c r="E90" s="478">
        <v>0.35699999999999998</v>
      </c>
      <c r="F90" s="479">
        <v>4.2000000000000003E-2</v>
      </c>
      <c r="G90" s="480">
        <v>9.98</v>
      </c>
      <c r="H90" s="476">
        <v>0</v>
      </c>
      <c r="I90" s="516">
        <v>0</v>
      </c>
      <c r="J90" s="482">
        <v>0</v>
      </c>
      <c r="L90" s="407"/>
      <c r="M90" s="407"/>
      <c r="N90" s="407"/>
      <c r="O90" s="407"/>
      <c r="P90" s="407"/>
      <c r="Q90" s="407"/>
    </row>
    <row r="91" spans="1:17" ht="35.049999999999997" customHeight="1" x14ac:dyDescent="0.3">
      <c r="A91" s="398" t="s">
        <v>847</v>
      </c>
      <c r="B91" s="17" t="s">
        <v>480</v>
      </c>
      <c r="C91" s="405" t="s">
        <v>640</v>
      </c>
      <c r="D91" s="481">
        <v>2.0129999999999999</v>
      </c>
      <c r="E91" s="478">
        <v>0.35699999999999998</v>
      </c>
      <c r="F91" s="479">
        <v>4.2000000000000003E-2</v>
      </c>
      <c r="G91" s="480">
        <v>18.920000000000002</v>
      </c>
      <c r="H91" s="476">
        <v>0</v>
      </c>
      <c r="I91" s="516">
        <v>0</v>
      </c>
      <c r="J91" s="482">
        <v>0</v>
      </c>
      <c r="L91" s="407"/>
      <c r="M91" s="407"/>
      <c r="N91" s="407"/>
      <c r="O91" s="407"/>
      <c r="P91" s="407"/>
      <c r="Q91" s="407"/>
    </row>
    <row r="92" spans="1:17" ht="35.049999999999997" customHeight="1" x14ac:dyDescent="0.3">
      <c r="A92" s="398" t="s">
        <v>848</v>
      </c>
      <c r="B92" s="17" t="s">
        <v>480</v>
      </c>
      <c r="C92" s="405" t="s">
        <v>640</v>
      </c>
      <c r="D92" s="481">
        <v>2.0129999999999999</v>
      </c>
      <c r="E92" s="478">
        <v>0.35699999999999998</v>
      </c>
      <c r="F92" s="479">
        <v>4.2000000000000003E-2</v>
      </c>
      <c r="G92" s="480">
        <v>54.43</v>
      </c>
      <c r="H92" s="476">
        <v>0</v>
      </c>
      <c r="I92" s="516">
        <v>0</v>
      </c>
      <c r="J92" s="482">
        <v>0</v>
      </c>
      <c r="L92" s="407"/>
      <c r="M92" s="407"/>
      <c r="N92" s="407"/>
      <c r="O92" s="407"/>
      <c r="P92" s="407"/>
      <c r="Q92" s="407"/>
    </row>
    <row r="93" spans="1:17" ht="35.049999999999997" customHeight="1" x14ac:dyDescent="0.3">
      <c r="A93" s="398" t="s">
        <v>588</v>
      </c>
      <c r="B93" s="17" t="s">
        <v>480</v>
      </c>
      <c r="C93" s="405" t="s">
        <v>577</v>
      </c>
      <c r="D93" s="481">
        <v>2.0129999999999999</v>
      </c>
      <c r="E93" s="478">
        <v>0.35699999999999998</v>
      </c>
      <c r="F93" s="479">
        <v>4.2000000000000003E-2</v>
      </c>
      <c r="G93" s="476">
        <v>0</v>
      </c>
      <c r="H93" s="476">
        <v>0</v>
      </c>
      <c r="I93" s="516">
        <v>0</v>
      </c>
      <c r="J93" s="482">
        <v>0</v>
      </c>
      <c r="L93" s="407"/>
      <c r="M93" s="407"/>
      <c r="N93" s="407"/>
      <c r="O93" s="407"/>
      <c r="P93" s="407"/>
      <c r="Q93" s="407"/>
    </row>
    <row r="94" spans="1:17" ht="35.049999999999997" customHeight="1" x14ac:dyDescent="0.3">
      <c r="A94" s="398" t="s">
        <v>849</v>
      </c>
      <c r="B94" s="17" t="s">
        <v>480</v>
      </c>
      <c r="C94" s="405">
        <v>0</v>
      </c>
      <c r="D94" s="481">
        <v>1.5720000000000001</v>
      </c>
      <c r="E94" s="478">
        <v>0.28199999999999997</v>
      </c>
      <c r="F94" s="479">
        <v>3.1E-2</v>
      </c>
      <c r="G94" s="480">
        <v>4.8499999999999996</v>
      </c>
      <c r="H94" s="480">
        <v>1.63</v>
      </c>
      <c r="I94" s="485">
        <v>2.86</v>
      </c>
      <c r="J94" s="475">
        <v>3.7999999999999999E-2</v>
      </c>
      <c r="L94" s="407"/>
      <c r="M94" s="407"/>
      <c r="N94" s="407"/>
      <c r="O94" s="407"/>
      <c r="P94" s="407"/>
      <c r="Q94" s="407"/>
    </row>
    <row r="95" spans="1:17" ht="35.049999999999997" customHeight="1" x14ac:dyDescent="0.3">
      <c r="A95" s="398" t="s">
        <v>850</v>
      </c>
      <c r="B95" s="17" t="s">
        <v>480</v>
      </c>
      <c r="C95" s="405">
        <v>0</v>
      </c>
      <c r="D95" s="481">
        <v>1.5720000000000001</v>
      </c>
      <c r="E95" s="478">
        <v>0.28199999999999997</v>
      </c>
      <c r="F95" s="479">
        <v>3.1E-2</v>
      </c>
      <c r="G95" s="480">
        <v>89.04</v>
      </c>
      <c r="H95" s="480">
        <v>1.63</v>
      </c>
      <c r="I95" s="485">
        <v>2.86</v>
      </c>
      <c r="J95" s="475">
        <v>3.7999999999999999E-2</v>
      </c>
      <c r="L95" s="407"/>
      <c r="M95" s="407"/>
      <c r="N95" s="407"/>
      <c r="O95" s="407"/>
      <c r="P95" s="407"/>
      <c r="Q95" s="407"/>
    </row>
    <row r="96" spans="1:17" ht="35.049999999999997" customHeight="1" x14ac:dyDescent="0.3">
      <c r="A96" s="398" t="s">
        <v>851</v>
      </c>
      <c r="B96" s="17" t="s">
        <v>480</v>
      </c>
      <c r="C96" s="405">
        <v>0</v>
      </c>
      <c r="D96" s="481">
        <v>1.5720000000000001</v>
      </c>
      <c r="E96" s="478">
        <v>0.28199999999999997</v>
      </c>
      <c r="F96" s="479">
        <v>3.1E-2</v>
      </c>
      <c r="G96" s="480">
        <v>162.94</v>
      </c>
      <c r="H96" s="480">
        <v>1.63</v>
      </c>
      <c r="I96" s="485">
        <v>2.86</v>
      </c>
      <c r="J96" s="475">
        <v>3.7999999999999999E-2</v>
      </c>
      <c r="L96" s="407"/>
      <c r="M96" s="407"/>
      <c r="N96" s="407"/>
      <c r="O96" s="407"/>
      <c r="P96" s="407"/>
      <c r="Q96" s="407"/>
    </row>
    <row r="97" spans="1:17" ht="35.049999999999997" customHeight="1" x14ac:dyDescent="0.3">
      <c r="A97" s="398" t="s">
        <v>852</v>
      </c>
      <c r="B97" s="17" t="s">
        <v>480</v>
      </c>
      <c r="C97" s="405">
        <v>0</v>
      </c>
      <c r="D97" s="481">
        <v>1.5720000000000001</v>
      </c>
      <c r="E97" s="478">
        <v>0.28199999999999997</v>
      </c>
      <c r="F97" s="479">
        <v>3.1E-2</v>
      </c>
      <c r="G97" s="480">
        <v>256.23</v>
      </c>
      <c r="H97" s="480">
        <v>1.63</v>
      </c>
      <c r="I97" s="485">
        <v>2.86</v>
      </c>
      <c r="J97" s="475">
        <v>3.7999999999999999E-2</v>
      </c>
      <c r="L97" s="407"/>
      <c r="M97" s="407"/>
      <c r="N97" s="407"/>
      <c r="O97" s="407"/>
      <c r="P97" s="407"/>
      <c r="Q97" s="407"/>
    </row>
    <row r="98" spans="1:17" ht="35.049999999999997" customHeight="1" x14ac:dyDescent="0.3">
      <c r="A98" s="398" t="s">
        <v>853</v>
      </c>
      <c r="B98" s="17" t="s">
        <v>480</v>
      </c>
      <c r="C98" s="405">
        <v>0</v>
      </c>
      <c r="D98" s="481">
        <v>1.5720000000000001</v>
      </c>
      <c r="E98" s="478">
        <v>0.28199999999999997</v>
      </c>
      <c r="F98" s="479">
        <v>3.1E-2</v>
      </c>
      <c r="G98" s="480">
        <v>441.15</v>
      </c>
      <c r="H98" s="480">
        <v>1.63</v>
      </c>
      <c r="I98" s="485">
        <v>2.86</v>
      </c>
      <c r="J98" s="475">
        <v>3.7999999999999999E-2</v>
      </c>
      <c r="K98" s="1"/>
    </row>
    <row r="99" spans="1:17" ht="35.049999999999997" customHeight="1" x14ac:dyDescent="0.3">
      <c r="A99" s="398" t="s">
        <v>854</v>
      </c>
      <c r="B99" s="17" t="s">
        <v>480</v>
      </c>
      <c r="C99" s="405">
        <v>0</v>
      </c>
      <c r="D99" s="481">
        <v>1.228</v>
      </c>
      <c r="E99" s="478">
        <v>0.22600000000000001</v>
      </c>
      <c r="F99" s="479">
        <v>2.1000000000000001E-2</v>
      </c>
      <c r="G99" s="480">
        <v>5.74</v>
      </c>
      <c r="H99" s="480">
        <v>2.7</v>
      </c>
      <c r="I99" s="485">
        <v>3.67</v>
      </c>
      <c r="J99" s="475">
        <v>3.5000000000000003E-2</v>
      </c>
      <c r="K99" s="1"/>
    </row>
    <row r="100" spans="1:17" ht="35.049999999999997" customHeight="1" x14ac:dyDescent="0.3">
      <c r="A100" s="398" t="s">
        <v>855</v>
      </c>
      <c r="B100" s="17" t="s">
        <v>480</v>
      </c>
      <c r="C100" s="405">
        <v>0</v>
      </c>
      <c r="D100" s="481">
        <v>1.228</v>
      </c>
      <c r="E100" s="478">
        <v>0.22600000000000001</v>
      </c>
      <c r="F100" s="479">
        <v>2.1000000000000001E-2</v>
      </c>
      <c r="G100" s="480">
        <v>134</v>
      </c>
      <c r="H100" s="480">
        <v>2.7</v>
      </c>
      <c r="I100" s="485">
        <v>3.67</v>
      </c>
      <c r="J100" s="475">
        <v>3.5000000000000003E-2</v>
      </c>
      <c r="K100" s="1"/>
    </row>
    <row r="101" spans="1:17" ht="35.049999999999997" customHeight="1" x14ac:dyDescent="0.3">
      <c r="A101" s="398" t="s">
        <v>856</v>
      </c>
      <c r="B101" s="17" t="s">
        <v>480</v>
      </c>
      <c r="C101" s="405">
        <v>0</v>
      </c>
      <c r="D101" s="481">
        <v>1.228</v>
      </c>
      <c r="E101" s="478">
        <v>0.22600000000000001</v>
      </c>
      <c r="F101" s="479">
        <v>2.1000000000000001E-2</v>
      </c>
      <c r="G101" s="480">
        <v>246.58</v>
      </c>
      <c r="H101" s="480">
        <v>2.7</v>
      </c>
      <c r="I101" s="485">
        <v>3.67</v>
      </c>
      <c r="J101" s="475">
        <v>3.5000000000000003E-2</v>
      </c>
      <c r="K101" s="1"/>
    </row>
    <row r="102" spans="1:17" ht="35.049999999999997" customHeight="1" x14ac:dyDescent="0.3">
      <c r="A102" s="398" t="s">
        <v>857</v>
      </c>
      <c r="B102" s="17" t="s">
        <v>480</v>
      </c>
      <c r="C102" s="405">
        <v>0</v>
      </c>
      <c r="D102" s="481">
        <v>1.228</v>
      </c>
      <c r="E102" s="478">
        <v>0.22600000000000001</v>
      </c>
      <c r="F102" s="479">
        <v>2.1000000000000001E-2</v>
      </c>
      <c r="G102" s="480">
        <v>388.71</v>
      </c>
      <c r="H102" s="480">
        <v>2.7</v>
      </c>
      <c r="I102" s="485">
        <v>3.67</v>
      </c>
      <c r="J102" s="475">
        <v>3.5000000000000003E-2</v>
      </c>
      <c r="K102" s="1"/>
    </row>
    <row r="103" spans="1:17" ht="35.049999999999997" customHeight="1" x14ac:dyDescent="0.3">
      <c r="A103" s="398" t="s">
        <v>858</v>
      </c>
      <c r="B103" s="17" t="s">
        <v>480</v>
      </c>
      <c r="C103" s="405">
        <v>0</v>
      </c>
      <c r="D103" s="481">
        <v>1.228</v>
      </c>
      <c r="E103" s="478">
        <v>0.22600000000000001</v>
      </c>
      <c r="F103" s="479">
        <v>2.1000000000000001E-2</v>
      </c>
      <c r="G103" s="480">
        <v>670.44</v>
      </c>
      <c r="H103" s="480">
        <v>2.7</v>
      </c>
      <c r="I103" s="485">
        <v>3.67</v>
      </c>
      <c r="J103" s="475">
        <v>3.5000000000000003E-2</v>
      </c>
      <c r="K103" s="1"/>
    </row>
    <row r="104" spans="1:17" ht="35.049999999999997" customHeight="1" x14ac:dyDescent="0.3">
      <c r="A104" s="398" t="s">
        <v>859</v>
      </c>
      <c r="B104" s="17" t="s">
        <v>480</v>
      </c>
      <c r="C104" s="405">
        <v>0</v>
      </c>
      <c r="D104" s="481">
        <v>0.68</v>
      </c>
      <c r="E104" s="478">
        <v>0.12</v>
      </c>
      <c r="F104" s="479">
        <v>0.01</v>
      </c>
      <c r="G104" s="480">
        <v>58.88</v>
      </c>
      <c r="H104" s="480">
        <v>3.24</v>
      </c>
      <c r="I104" s="485">
        <v>4.22</v>
      </c>
      <c r="J104" s="475">
        <v>1.7000000000000001E-2</v>
      </c>
      <c r="K104" s="1"/>
    </row>
    <row r="105" spans="1:17" ht="35.049999999999997" customHeight="1" x14ac:dyDescent="0.3">
      <c r="A105" s="398" t="s">
        <v>860</v>
      </c>
      <c r="B105" s="17" t="s">
        <v>480</v>
      </c>
      <c r="C105" s="405">
        <v>0</v>
      </c>
      <c r="D105" s="481">
        <v>0.68</v>
      </c>
      <c r="E105" s="478">
        <v>0.12</v>
      </c>
      <c r="F105" s="479">
        <v>0.01</v>
      </c>
      <c r="G105" s="480">
        <v>720.28</v>
      </c>
      <c r="H105" s="480">
        <v>3.24</v>
      </c>
      <c r="I105" s="485">
        <v>4.22</v>
      </c>
      <c r="J105" s="475">
        <v>1.7000000000000001E-2</v>
      </c>
      <c r="K105" s="1"/>
    </row>
    <row r="106" spans="1:17" ht="35.049999999999997" customHeight="1" x14ac:dyDescent="0.3">
      <c r="A106" s="398" t="s">
        <v>861</v>
      </c>
      <c r="B106" s="17" t="s">
        <v>480</v>
      </c>
      <c r="C106" s="405">
        <v>0</v>
      </c>
      <c r="D106" s="481">
        <v>0.68</v>
      </c>
      <c r="E106" s="478">
        <v>0.12</v>
      </c>
      <c r="F106" s="479">
        <v>0.01</v>
      </c>
      <c r="G106" s="480">
        <v>2133.8200000000002</v>
      </c>
      <c r="H106" s="480">
        <v>3.24</v>
      </c>
      <c r="I106" s="485">
        <v>4.22</v>
      </c>
      <c r="J106" s="475">
        <v>1.7000000000000001E-2</v>
      </c>
      <c r="K106" s="1"/>
    </row>
    <row r="107" spans="1:17" ht="35.049999999999997" customHeight="1" x14ac:dyDescent="0.3">
      <c r="A107" s="398" t="s">
        <v>862</v>
      </c>
      <c r="B107" s="17" t="s">
        <v>480</v>
      </c>
      <c r="C107" s="405">
        <v>0</v>
      </c>
      <c r="D107" s="481">
        <v>0.68</v>
      </c>
      <c r="E107" s="478">
        <v>0.12</v>
      </c>
      <c r="F107" s="479">
        <v>0.01</v>
      </c>
      <c r="G107" s="480">
        <v>4691.01</v>
      </c>
      <c r="H107" s="480">
        <v>3.24</v>
      </c>
      <c r="I107" s="485">
        <v>4.22</v>
      </c>
      <c r="J107" s="475">
        <v>1.7000000000000001E-2</v>
      </c>
      <c r="K107" s="1"/>
    </row>
    <row r="108" spans="1:17" ht="35.049999999999997" customHeight="1" x14ac:dyDescent="0.3">
      <c r="A108" s="398" t="s">
        <v>863</v>
      </c>
      <c r="B108" s="17" t="s">
        <v>480</v>
      </c>
      <c r="C108" s="405">
        <v>0</v>
      </c>
      <c r="D108" s="481">
        <v>0.68</v>
      </c>
      <c r="E108" s="478">
        <v>0.12</v>
      </c>
      <c r="F108" s="479">
        <v>0.01</v>
      </c>
      <c r="G108" s="480">
        <v>14488.51</v>
      </c>
      <c r="H108" s="480">
        <v>3.24</v>
      </c>
      <c r="I108" s="485">
        <v>4.22</v>
      </c>
      <c r="J108" s="475">
        <v>1.7000000000000001E-2</v>
      </c>
      <c r="K108" s="1"/>
    </row>
    <row r="109" spans="1:17" ht="35.049999999999997" customHeight="1" x14ac:dyDescent="0.3">
      <c r="A109" s="398" t="s">
        <v>589</v>
      </c>
      <c r="B109" s="17" t="s">
        <v>480</v>
      </c>
      <c r="C109" s="405" t="s">
        <v>616</v>
      </c>
      <c r="D109" s="477">
        <v>6.7839999999999998</v>
      </c>
      <c r="E109" s="483">
        <v>0.96</v>
      </c>
      <c r="F109" s="479">
        <v>0.67200000000000004</v>
      </c>
      <c r="G109" s="476">
        <v>0</v>
      </c>
      <c r="H109" s="476">
        <v>0</v>
      </c>
      <c r="I109" s="516">
        <v>0</v>
      </c>
      <c r="J109" s="482">
        <v>0</v>
      </c>
      <c r="K109" s="1"/>
    </row>
    <row r="110" spans="1:17" ht="35.049999999999997" customHeight="1" x14ac:dyDescent="0.3">
      <c r="A110" s="398" t="s">
        <v>696</v>
      </c>
      <c r="B110" s="17" t="s">
        <v>480</v>
      </c>
      <c r="C110" s="405">
        <v>0</v>
      </c>
      <c r="D110" s="481">
        <v>-2.113</v>
      </c>
      <c r="E110" s="478">
        <v>-0.375</v>
      </c>
      <c r="F110" s="479">
        <v>-4.3999999999999997E-2</v>
      </c>
      <c r="G110" s="508">
        <v>0</v>
      </c>
      <c r="H110" s="476">
        <v>0</v>
      </c>
      <c r="I110" s="516">
        <v>0</v>
      </c>
      <c r="J110" s="482">
        <v>0</v>
      </c>
      <c r="K110" s="1"/>
    </row>
    <row r="111" spans="1:17" ht="35.049999999999997" customHeight="1" x14ac:dyDescent="0.3">
      <c r="A111" s="398" t="s">
        <v>697</v>
      </c>
      <c r="B111" s="17" t="s">
        <v>480</v>
      </c>
      <c r="C111" s="405">
        <v>0</v>
      </c>
      <c r="D111" s="481">
        <v>-1.994</v>
      </c>
      <c r="E111" s="478">
        <v>-0.35599999999999998</v>
      </c>
      <c r="F111" s="479">
        <v>-4.1000000000000002E-2</v>
      </c>
      <c r="G111" s="508">
        <v>0</v>
      </c>
      <c r="H111" s="476">
        <v>0</v>
      </c>
      <c r="I111" s="516">
        <v>0</v>
      </c>
      <c r="J111" s="482">
        <v>0</v>
      </c>
      <c r="K111" s="1"/>
    </row>
    <row r="112" spans="1:17" ht="35.049999999999997" customHeight="1" x14ac:dyDescent="0.3">
      <c r="A112" s="398" t="s">
        <v>698</v>
      </c>
      <c r="B112" s="17" t="s">
        <v>480</v>
      </c>
      <c r="C112" s="405">
        <v>0</v>
      </c>
      <c r="D112" s="481">
        <v>-2.113</v>
      </c>
      <c r="E112" s="478">
        <v>-0.375</v>
      </c>
      <c r="F112" s="479">
        <v>-4.3999999999999997E-2</v>
      </c>
      <c r="G112" s="508">
        <v>0</v>
      </c>
      <c r="H112" s="476">
        <v>0</v>
      </c>
      <c r="I112" s="516">
        <v>0</v>
      </c>
      <c r="J112" s="475">
        <v>6.7000000000000004E-2</v>
      </c>
      <c r="K112" s="1"/>
    </row>
    <row r="113" spans="1:11" ht="35.049999999999997" customHeight="1" x14ac:dyDescent="0.3">
      <c r="A113" s="398" t="s">
        <v>699</v>
      </c>
      <c r="B113" s="17" t="s">
        <v>480</v>
      </c>
      <c r="C113" s="405">
        <v>0</v>
      </c>
      <c r="D113" s="481">
        <v>-1.994</v>
      </c>
      <c r="E113" s="478">
        <v>-0.35599999999999998</v>
      </c>
      <c r="F113" s="479">
        <v>-4.1000000000000002E-2</v>
      </c>
      <c r="G113" s="508">
        <v>0</v>
      </c>
      <c r="H113" s="476">
        <v>0</v>
      </c>
      <c r="I113" s="516">
        <v>0</v>
      </c>
      <c r="J113" s="475">
        <v>5.8000000000000003E-2</v>
      </c>
      <c r="K113" s="1"/>
    </row>
    <row r="114" spans="1:11" ht="35.049999999999997" customHeight="1" x14ac:dyDescent="0.3">
      <c r="A114" s="398" t="s">
        <v>700</v>
      </c>
      <c r="B114" s="17" t="s">
        <v>480</v>
      </c>
      <c r="C114" s="405">
        <v>0</v>
      </c>
      <c r="D114" s="481">
        <v>-1.415</v>
      </c>
      <c r="E114" s="478">
        <v>-0.26</v>
      </c>
      <c r="F114" s="479">
        <v>-2.4E-2</v>
      </c>
      <c r="G114" s="480">
        <v>51.62</v>
      </c>
      <c r="H114" s="476">
        <v>0</v>
      </c>
      <c r="I114" s="516">
        <v>0</v>
      </c>
      <c r="J114" s="475">
        <v>6.3E-2</v>
      </c>
      <c r="K114" s="1"/>
    </row>
    <row r="115" spans="1:11" ht="35.049999999999997" customHeight="1" x14ac:dyDescent="0.3">
      <c r="A115" s="398" t="s">
        <v>864</v>
      </c>
      <c r="B115" s="17" t="s">
        <v>480</v>
      </c>
      <c r="C115" s="405" t="s">
        <v>639</v>
      </c>
      <c r="D115" s="481">
        <v>2.081</v>
      </c>
      <c r="E115" s="478">
        <v>0.37</v>
      </c>
      <c r="F115" s="479">
        <v>4.2999999999999997E-2</v>
      </c>
      <c r="G115" s="480">
        <v>4.8499999999999996</v>
      </c>
      <c r="H115" s="476">
        <v>0</v>
      </c>
      <c r="I115" s="516">
        <v>0</v>
      </c>
      <c r="J115" s="482">
        <v>0</v>
      </c>
      <c r="K115" s="1"/>
    </row>
    <row r="116" spans="1:11" ht="35.049999999999997" customHeight="1" x14ac:dyDescent="0.3">
      <c r="A116" s="398" t="s">
        <v>865</v>
      </c>
      <c r="B116" s="17" t="s">
        <v>480</v>
      </c>
      <c r="C116" s="405" t="s">
        <v>575</v>
      </c>
      <c r="D116" s="481">
        <v>2.081</v>
      </c>
      <c r="E116" s="478">
        <v>0.37</v>
      </c>
      <c r="F116" s="479">
        <v>4.2999999999999997E-2</v>
      </c>
      <c r="G116" s="476">
        <v>0</v>
      </c>
      <c r="H116" s="476">
        <v>0</v>
      </c>
      <c r="I116" s="516">
        <v>0</v>
      </c>
      <c r="J116" s="482">
        <v>0</v>
      </c>
      <c r="K116" s="1"/>
    </row>
    <row r="117" spans="1:11" ht="35.049999999999997" customHeight="1" x14ac:dyDescent="0.3">
      <c r="A117" s="398" t="s">
        <v>866</v>
      </c>
      <c r="B117" s="17" t="s">
        <v>480</v>
      </c>
      <c r="C117" s="405" t="s">
        <v>640</v>
      </c>
      <c r="D117" s="481">
        <v>1.929</v>
      </c>
      <c r="E117" s="478">
        <v>0.34300000000000003</v>
      </c>
      <c r="F117" s="479">
        <v>0.04</v>
      </c>
      <c r="G117" s="480">
        <v>3.41</v>
      </c>
      <c r="H117" s="476">
        <v>0</v>
      </c>
      <c r="I117" s="516">
        <v>0</v>
      </c>
      <c r="J117" s="482">
        <v>0</v>
      </c>
      <c r="K117" s="1"/>
    </row>
    <row r="118" spans="1:11" ht="35.049999999999997" customHeight="1" x14ac:dyDescent="0.3">
      <c r="A118" s="398" t="s">
        <v>867</v>
      </c>
      <c r="B118" s="17" t="s">
        <v>480</v>
      </c>
      <c r="C118" s="405" t="s">
        <v>640</v>
      </c>
      <c r="D118" s="481">
        <v>1.929</v>
      </c>
      <c r="E118" s="478">
        <v>0.34300000000000003</v>
      </c>
      <c r="F118" s="479">
        <v>0.04</v>
      </c>
      <c r="G118" s="480">
        <v>4.6500000000000004</v>
      </c>
      <c r="H118" s="476">
        <v>0</v>
      </c>
      <c r="I118" s="516">
        <v>0</v>
      </c>
      <c r="J118" s="482">
        <v>0</v>
      </c>
      <c r="K118" s="1"/>
    </row>
    <row r="119" spans="1:11" ht="35.049999999999997" customHeight="1" x14ac:dyDescent="0.3">
      <c r="A119" s="398" t="s">
        <v>868</v>
      </c>
      <c r="B119" s="17" t="s">
        <v>480</v>
      </c>
      <c r="C119" s="405" t="s">
        <v>640</v>
      </c>
      <c r="D119" s="481">
        <v>1.929</v>
      </c>
      <c r="E119" s="478">
        <v>0.34300000000000003</v>
      </c>
      <c r="F119" s="479">
        <v>0.04</v>
      </c>
      <c r="G119" s="480">
        <v>9.57</v>
      </c>
      <c r="H119" s="476">
        <v>0</v>
      </c>
      <c r="I119" s="516">
        <v>0</v>
      </c>
      <c r="J119" s="482">
        <v>0</v>
      </c>
      <c r="K119" s="1"/>
    </row>
    <row r="120" spans="1:11" ht="35.049999999999997" customHeight="1" x14ac:dyDescent="0.3">
      <c r="A120" s="398" t="s">
        <v>869</v>
      </c>
      <c r="B120" s="17" t="s">
        <v>480</v>
      </c>
      <c r="C120" s="405" t="s">
        <v>640</v>
      </c>
      <c r="D120" s="481">
        <v>1.929</v>
      </c>
      <c r="E120" s="478">
        <v>0.34300000000000003</v>
      </c>
      <c r="F120" s="479">
        <v>0.04</v>
      </c>
      <c r="G120" s="480">
        <v>18.14</v>
      </c>
      <c r="H120" s="476">
        <v>0</v>
      </c>
      <c r="I120" s="516">
        <v>0</v>
      </c>
      <c r="J120" s="482">
        <v>0</v>
      </c>
      <c r="K120" s="1"/>
    </row>
    <row r="121" spans="1:11" ht="35.049999999999997" customHeight="1" x14ac:dyDescent="0.3">
      <c r="A121" s="398" t="s">
        <v>870</v>
      </c>
      <c r="B121" s="17" t="s">
        <v>480</v>
      </c>
      <c r="C121" s="405" t="s">
        <v>640</v>
      </c>
      <c r="D121" s="481">
        <v>1.929</v>
      </c>
      <c r="E121" s="478">
        <v>0.34300000000000003</v>
      </c>
      <c r="F121" s="479">
        <v>0.04</v>
      </c>
      <c r="G121" s="480">
        <v>52.18</v>
      </c>
      <c r="H121" s="476">
        <v>0</v>
      </c>
      <c r="I121" s="516">
        <v>0</v>
      </c>
      <c r="J121" s="482">
        <v>0</v>
      </c>
      <c r="K121" s="1"/>
    </row>
    <row r="122" spans="1:11" ht="35.049999999999997" customHeight="1" x14ac:dyDescent="0.3">
      <c r="A122" s="398" t="s">
        <v>590</v>
      </c>
      <c r="B122" s="17" t="s">
        <v>480</v>
      </c>
      <c r="C122" s="405" t="s">
        <v>577</v>
      </c>
      <c r="D122" s="481">
        <v>1.929</v>
      </c>
      <c r="E122" s="478">
        <v>0.34300000000000003</v>
      </c>
      <c r="F122" s="479">
        <v>0.04</v>
      </c>
      <c r="G122" s="476">
        <v>0</v>
      </c>
      <c r="H122" s="476">
        <v>0</v>
      </c>
      <c r="I122" s="516">
        <v>0</v>
      </c>
      <c r="J122" s="482">
        <v>0</v>
      </c>
      <c r="K122" s="1"/>
    </row>
    <row r="123" spans="1:11" ht="35.049999999999997" customHeight="1" x14ac:dyDescent="0.3">
      <c r="A123" s="398" t="s">
        <v>871</v>
      </c>
      <c r="B123" s="17" t="s">
        <v>480</v>
      </c>
      <c r="C123" s="405">
        <v>0</v>
      </c>
      <c r="D123" s="481">
        <v>1.506</v>
      </c>
      <c r="E123" s="478">
        <v>0.27</v>
      </c>
      <c r="F123" s="479">
        <v>0.03</v>
      </c>
      <c r="G123" s="480">
        <v>4.6500000000000004</v>
      </c>
      <c r="H123" s="480">
        <v>1.56</v>
      </c>
      <c r="I123" s="485">
        <v>2.75</v>
      </c>
      <c r="J123" s="475">
        <v>3.6999999999999998E-2</v>
      </c>
      <c r="K123" s="1"/>
    </row>
    <row r="124" spans="1:11" ht="35.049999999999997" customHeight="1" x14ac:dyDescent="0.3">
      <c r="A124" s="398" t="s">
        <v>872</v>
      </c>
      <c r="B124" s="17" t="s">
        <v>480</v>
      </c>
      <c r="C124" s="405">
        <v>0</v>
      </c>
      <c r="D124" s="481">
        <v>1.506</v>
      </c>
      <c r="E124" s="478">
        <v>0.27</v>
      </c>
      <c r="F124" s="479">
        <v>0.03</v>
      </c>
      <c r="G124" s="480">
        <v>85.34</v>
      </c>
      <c r="H124" s="480">
        <v>1.56</v>
      </c>
      <c r="I124" s="485">
        <v>2.75</v>
      </c>
      <c r="J124" s="475">
        <v>3.6999999999999998E-2</v>
      </c>
      <c r="K124" s="1"/>
    </row>
    <row r="125" spans="1:11" ht="35.049999999999997" customHeight="1" x14ac:dyDescent="0.3">
      <c r="A125" s="398" t="s">
        <v>873</v>
      </c>
      <c r="B125" s="17" t="s">
        <v>480</v>
      </c>
      <c r="C125" s="405">
        <v>0</v>
      </c>
      <c r="D125" s="481">
        <v>1.506</v>
      </c>
      <c r="E125" s="478">
        <v>0.27</v>
      </c>
      <c r="F125" s="479">
        <v>0.03</v>
      </c>
      <c r="G125" s="480">
        <v>156.16</v>
      </c>
      <c r="H125" s="480">
        <v>1.56</v>
      </c>
      <c r="I125" s="485">
        <v>2.75</v>
      </c>
      <c r="J125" s="475">
        <v>3.6999999999999998E-2</v>
      </c>
      <c r="K125" s="1"/>
    </row>
    <row r="126" spans="1:11" ht="35.049999999999997" customHeight="1" x14ac:dyDescent="0.3">
      <c r="A126" s="398" t="s">
        <v>874</v>
      </c>
      <c r="B126" s="17" t="s">
        <v>480</v>
      </c>
      <c r="C126" s="405">
        <v>0</v>
      </c>
      <c r="D126" s="481">
        <v>1.506</v>
      </c>
      <c r="E126" s="478">
        <v>0.27</v>
      </c>
      <c r="F126" s="479">
        <v>0.03</v>
      </c>
      <c r="G126" s="480">
        <v>245.58</v>
      </c>
      <c r="H126" s="480">
        <v>1.56</v>
      </c>
      <c r="I126" s="485">
        <v>2.75</v>
      </c>
      <c r="J126" s="475">
        <v>3.6999999999999998E-2</v>
      </c>
      <c r="K126" s="1"/>
    </row>
    <row r="127" spans="1:11" ht="35.049999999999997" customHeight="1" x14ac:dyDescent="0.3">
      <c r="A127" s="398" t="s">
        <v>875</v>
      </c>
      <c r="B127" s="17" t="s">
        <v>480</v>
      </c>
      <c r="C127" s="405">
        <v>0</v>
      </c>
      <c r="D127" s="481">
        <v>1.506</v>
      </c>
      <c r="E127" s="478">
        <v>0.27</v>
      </c>
      <c r="F127" s="479">
        <v>0.03</v>
      </c>
      <c r="G127" s="480">
        <v>422.81</v>
      </c>
      <c r="H127" s="480">
        <v>1.56</v>
      </c>
      <c r="I127" s="485">
        <v>2.75</v>
      </c>
      <c r="J127" s="475">
        <v>3.6999999999999998E-2</v>
      </c>
      <c r="K127" s="1"/>
    </row>
    <row r="128" spans="1:11" ht="35.049999999999997" customHeight="1" x14ac:dyDescent="0.3">
      <c r="A128" s="398" t="s">
        <v>876</v>
      </c>
      <c r="B128" s="17" t="s">
        <v>480</v>
      </c>
      <c r="C128" s="405">
        <v>0</v>
      </c>
      <c r="D128" s="481">
        <v>1.177</v>
      </c>
      <c r="E128" s="478">
        <v>0.217</v>
      </c>
      <c r="F128" s="479">
        <v>0.02</v>
      </c>
      <c r="G128" s="480">
        <v>5.5</v>
      </c>
      <c r="H128" s="480">
        <v>2.58</v>
      </c>
      <c r="I128" s="485">
        <v>3.51</v>
      </c>
      <c r="J128" s="475">
        <v>3.4000000000000002E-2</v>
      </c>
      <c r="K128" s="1"/>
    </row>
    <row r="129" spans="1:11" ht="35.049999999999997" customHeight="1" x14ac:dyDescent="0.3">
      <c r="A129" s="398" t="s">
        <v>877</v>
      </c>
      <c r="B129" s="17" t="s">
        <v>480</v>
      </c>
      <c r="C129" s="405">
        <v>0</v>
      </c>
      <c r="D129" s="481">
        <v>1.177</v>
      </c>
      <c r="E129" s="478">
        <v>0.217</v>
      </c>
      <c r="F129" s="479">
        <v>0.02</v>
      </c>
      <c r="G129" s="480">
        <v>128.43</v>
      </c>
      <c r="H129" s="480">
        <v>2.58</v>
      </c>
      <c r="I129" s="485">
        <v>3.51</v>
      </c>
      <c r="J129" s="475">
        <v>3.4000000000000002E-2</v>
      </c>
      <c r="K129" s="1"/>
    </row>
    <row r="130" spans="1:11" ht="35.049999999999997" customHeight="1" x14ac:dyDescent="0.3">
      <c r="A130" s="398" t="s">
        <v>878</v>
      </c>
      <c r="B130" s="17" t="s">
        <v>480</v>
      </c>
      <c r="C130" s="405">
        <v>0</v>
      </c>
      <c r="D130" s="481">
        <v>1.177</v>
      </c>
      <c r="E130" s="478">
        <v>0.217</v>
      </c>
      <c r="F130" s="479">
        <v>0.02</v>
      </c>
      <c r="G130" s="480">
        <v>236.33</v>
      </c>
      <c r="H130" s="480">
        <v>2.58</v>
      </c>
      <c r="I130" s="485">
        <v>3.51</v>
      </c>
      <c r="J130" s="475">
        <v>3.4000000000000002E-2</v>
      </c>
      <c r="K130" s="1"/>
    </row>
    <row r="131" spans="1:11" ht="35.049999999999997" customHeight="1" x14ac:dyDescent="0.3">
      <c r="A131" s="398" t="s">
        <v>879</v>
      </c>
      <c r="B131" s="17" t="s">
        <v>480</v>
      </c>
      <c r="C131" s="405">
        <v>0</v>
      </c>
      <c r="D131" s="481">
        <v>1.177</v>
      </c>
      <c r="E131" s="478">
        <v>0.217</v>
      </c>
      <c r="F131" s="479">
        <v>0.02</v>
      </c>
      <c r="G131" s="480">
        <v>372.55</v>
      </c>
      <c r="H131" s="480">
        <v>2.58</v>
      </c>
      <c r="I131" s="485">
        <v>3.51</v>
      </c>
      <c r="J131" s="475">
        <v>3.4000000000000002E-2</v>
      </c>
      <c r="K131" s="1"/>
    </row>
    <row r="132" spans="1:11" ht="35.049999999999997" customHeight="1" x14ac:dyDescent="0.3">
      <c r="A132" s="398" t="s">
        <v>880</v>
      </c>
      <c r="B132" s="17" t="s">
        <v>480</v>
      </c>
      <c r="C132" s="405">
        <v>0</v>
      </c>
      <c r="D132" s="481">
        <v>1.177</v>
      </c>
      <c r="E132" s="478">
        <v>0.217</v>
      </c>
      <c r="F132" s="479">
        <v>0.02</v>
      </c>
      <c r="G132" s="480">
        <v>642.55999999999995</v>
      </c>
      <c r="H132" s="480">
        <v>2.58</v>
      </c>
      <c r="I132" s="485">
        <v>3.51</v>
      </c>
      <c r="J132" s="475">
        <v>3.4000000000000002E-2</v>
      </c>
      <c r="K132" s="1"/>
    </row>
    <row r="133" spans="1:11" ht="35.049999999999997" customHeight="1" x14ac:dyDescent="0.3">
      <c r="A133" s="398" t="s">
        <v>881</v>
      </c>
      <c r="B133" s="17" t="s">
        <v>480</v>
      </c>
      <c r="C133" s="405">
        <v>0</v>
      </c>
      <c r="D133" s="481">
        <v>0.65200000000000002</v>
      </c>
      <c r="E133" s="478">
        <v>0.115</v>
      </c>
      <c r="F133" s="479">
        <v>8.9999999999999993E-3</v>
      </c>
      <c r="G133" s="480">
        <v>56.44</v>
      </c>
      <c r="H133" s="480">
        <v>3.11</v>
      </c>
      <c r="I133" s="485">
        <v>4.04</v>
      </c>
      <c r="J133" s="475">
        <v>1.7000000000000001E-2</v>
      </c>
      <c r="K133" s="1"/>
    </row>
    <row r="134" spans="1:11" ht="35.049999999999997" customHeight="1" x14ac:dyDescent="0.3">
      <c r="A134" s="398" t="s">
        <v>882</v>
      </c>
      <c r="B134" s="17" t="s">
        <v>480</v>
      </c>
      <c r="C134" s="405">
        <v>0</v>
      </c>
      <c r="D134" s="481">
        <v>0.65200000000000002</v>
      </c>
      <c r="E134" s="478">
        <v>0.115</v>
      </c>
      <c r="F134" s="479">
        <v>8.9999999999999993E-3</v>
      </c>
      <c r="G134" s="480">
        <v>690.32</v>
      </c>
      <c r="H134" s="480">
        <v>3.11</v>
      </c>
      <c r="I134" s="485">
        <v>4.04</v>
      </c>
      <c r="J134" s="475">
        <v>1.7000000000000001E-2</v>
      </c>
      <c r="K134" s="1"/>
    </row>
    <row r="135" spans="1:11" ht="35.049999999999997" customHeight="1" x14ac:dyDescent="0.3">
      <c r="A135" s="398" t="s">
        <v>883</v>
      </c>
      <c r="B135" s="17" t="s">
        <v>480</v>
      </c>
      <c r="C135" s="405">
        <v>0</v>
      </c>
      <c r="D135" s="481">
        <v>0.65200000000000002</v>
      </c>
      <c r="E135" s="478">
        <v>0.115</v>
      </c>
      <c r="F135" s="479">
        <v>8.9999999999999993E-3</v>
      </c>
      <c r="G135" s="480">
        <v>2045.07</v>
      </c>
      <c r="H135" s="480">
        <v>3.11</v>
      </c>
      <c r="I135" s="485">
        <v>4.04</v>
      </c>
      <c r="J135" s="475">
        <v>1.7000000000000001E-2</v>
      </c>
      <c r="K135" s="1"/>
    </row>
    <row r="136" spans="1:11" ht="35.049999999999997" customHeight="1" x14ac:dyDescent="0.3">
      <c r="A136" s="398" t="s">
        <v>884</v>
      </c>
      <c r="B136" s="17" t="s">
        <v>480</v>
      </c>
      <c r="C136" s="405">
        <v>0</v>
      </c>
      <c r="D136" s="481">
        <v>0.65200000000000002</v>
      </c>
      <c r="E136" s="478">
        <v>0.115</v>
      </c>
      <c r="F136" s="479">
        <v>8.9999999999999993E-3</v>
      </c>
      <c r="G136" s="480">
        <v>4495.8900000000003</v>
      </c>
      <c r="H136" s="480">
        <v>3.11</v>
      </c>
      <c r="I136" s="485">
        <v>4.04</v>
      </c>
      <c r="J136" s="475">
        <v>1.7000000000000001E-2</v>
      </c>
      <c r="K136" s="1"/>
    </row>
    <row r="137" spans="1:11" ht="35.049999999999997" customHeight="1" x14ac:dyDescent="0.3">
      <c r="A137" s="398" t="s">
        <v>885</v>
      </c>
      <c r="B137" s="17" t="s">
        <v>480</v>
      </c>
      <c r="C137" s="405">
        <v>0</v>
      </c>
      <c r="D137" s="481">
        <v>0.65200000000000002</v>
      </c>
      <c r="E137" s="478">
        <v>0.115</v>
      </c>
      <c r="F137" s="479">
        <v>8.9999999999999993E-3</v>
      </c>
      <c r="G137" s="480">
        <v>13885.86</v>
      </c>
      <c r="H137" s="480">
        <v>3.11</v>
      </c>
      <c r="I137" s="485">
        <v>4.04</v>
      </c>
      <c r="J137" s="475">
        <v>1.7000000000000001E-2</v>
      </c>
      <c r="K137" s="1"/>
    </row>
    <row r="138" spans="1:11" ht="35.049999999999997" customHeight="1" x14ac:dyDescent="0.3">
      <c r="A138" s="398" t="s">
        <v>591</v>
      </c>
      <c r="B138" s="17" t="s">
        <v>480</v>
      </c>
      <c r="C138" s="405" t="s">
        <v>616</v>
      </c>
      <c r="D138" s="477">
        <v>6.5019999999999998</v>
      </c>
      <c r="E138" s="483">
        <v>0.92</v>
      </c>
      <c r="F138" s="479">
        <v>0.64400000000000002</v>
      </c>
      <c r="G138" s="476">
        <v>0</v>
      </c>
      <c r="H138" s="476">
        <v>0</v>
      </c>
      <c r="I138" s="516">
        <v>0</v>
      </c>
      <c r="J138" s="482">
        <v>0</v>
      </c>
      <c r="K138" s="1"/>
    </row>
    <row r="139" spans="1:11" ht="35.049999999999997" customHeight="1" x14ac:dyDescent="0.3">
      <c r="A139" s="398" t="s">
        <v>701</v>
      </c>
      <c r="B139" s="17" t="s">
        <v>480</v>
      </c>
      <c r="C139" s="405">
        <v>0</v>
      </c>
      <c r="D139" s="481">
        <v>-2.0249999999999999</v>
      </c>
      <c r="E139" s="478">
        <v>-0.36</v>
      </c>
      <c r="F139" s="479">
        <v>-4.2000000000000003E-2</v>
      </c>
      <c r="G139" s="508">
        <v>0</v>
      </c>
      <c r="H139" s="476">
        <v>0</v>
      </c>
      <c r="I139" s="516">
        <v>0</v>
      </c>
      <c r="J139" s="482">
        <v>0</v>
      </c>
      <c r="K139" s="1"/>
    </row>
    <row r="140" spans="1:11" ht="35.049999999999997" customHeight="1" x14ac:dyDescent="0.3">
      <c r="A140" s="398" t="s">
        <v>702</v>
      </c>
      <c r="B140" s="17" t="s">
        <v>480</v>
      </c>
      <c r="C140" s="405">
        <v>0</v>
      </c>
      <c r="D140" s="481">
        <v>-1.9119999999999999</v>
      </c>
      <c r="E140" s="478">
        <v>-0.34100000000000003</v>
      </c>
      <c r="F140" s="479">
        <v>-3.9E-2</v>
      </c>
      <c r="G140" s="508">
        <v>0</v>
      </c>
      <c r="H140" s="476">
        <v>0</v>
      </c>
      <c r="I140" s="516">
        <v>0</v>
      </c>
      <c r="J140" s="482">
        <v>0</v>
      </c>
      <c r="K140" s="1"/>
    </row>
    <row r="141" spans="1:11" ht="35.049999999999997" customHeight="1" x14ac:dyDescent="0.3">
      <c r="A141" s="398" t="s">
        <v>703</v>
      </c>
      <c r="B141" s="17" t="s">
        <v>480</v>
      </c>
      <c r="C141" s="405">
        <v>0</v>
      </c>
      <c r="D141" s="481">
        <v>-2.0249999999999999</v>
      </c>
      <c r="E141" s="478">
        <v>-0.36</v>
      </c>
      <c r="F141" s="479">
        <v>-4.2000000000000003E-2</v>
      </c>
      <c r="G141" s="508">
        <v>0</v>
      </c>
      <c r="H141" s="476">
        <v>0</v>
      </c>
      <c r="I141" s="516">
        <v>0</v>
      </c>
      <c r="J141" s="475">
        <v>6.4000000000000001E-2</v>
      </c>
    </row>
    <row r="142" spans="1:11" ht="35.049999999999997" customHeight="1" x14ac:dyDescent="0.3">
      <c r="A142" s="398" t="s">
        <v>704</v>
      </c>
      <c r="B142" s="17" t="s">
        <v>480</v>
      </c>
      <c r="C142" s="405">
        <v>0</v>
      </c>
      <c r="D142" s="481">
        <v>-1.9119999999999999</v>
      </c>
      <c r="E142" s="478">
        <v>-0.34100000000000003</v>
      </c>
      <c r="F142" s="479">
        <v>-3.9E-2</v>
      </c>
      <c r="G142" s="508">
        <v>0</v>
      </c>
      <c r="H142" s="476">
        <v>0</v>
      </c>
      <c r="I142" s="516">
        <v>0</v>
      </c>
      <c r="J142" s="475">
        <v>5.6000000000000001E-2</v>
      </c>
    </row>
    <row r="143" spans="1:11" ht="35.049999999999997" customHeight="1" x14ac:dyDescent="0.3">
      <c r="A143" s="398" t="s">
        <v>705</v>
      </c>
      <c r="B143" s="17" t="s">
        <v>480</v>
      </c>
      <c r="C143" s="405">
        <v>0</v>
      </c>
      <c r="D143" s="481">
        <v>-1.357</v>
      </c>
      <c r="E143" s="478">
        <v>-0.249</v>
      </c>
      <c r="F143" s="479">
        <v>-2.3E-2</v>
      </c>
      <c r="G143" s="480">
        <v>49.47</v>
      </c>
      <c r="H143" s="476">
        <v>0</v>
      </c>
      <c r="I143" s="516">
        <v>0</v>
      </c>
      <c r="J143" s="475">
        <v>6.0999999999999999E-2</v>
      </c>
    </row>
    <row r="144" spans="1:11" ht="35.049999999999997" customHeight="1" x14ac:dyDescent="0.3">
      <c r="A144" s="398" t="s">
        <v>886</v>
      </c>
      <c r="B144" s="17" t="s">
        <v>480</v>
      </c>
      <c r="C144" s="405" t="s">
        <v>639</v>
      </c>
      <c r="D144" s="481">
        <v>1.3620000000000001</v>
      </c>
      <c r="E144" s="478">
        <v>0.24199999999999999</v>
      </c>
      <c r="F144" s="479">
        <v>2.8000000000000001E-2</v>
      </c>
      <c r="G144" s="480">
        <v>3.27</v>
      </c>
      <c r="H144" s="476">
        <v>0</v>
      </c>
      <c r="I144" s="516">
        <v>0</v>
      </c>
      <c r="J144" s="482">
        <v>0</v>
      </c>
    </row>
    <row r="145" spans="1:10" ht="35.049999999999997" customHeight="1" x14ac:dyDescent="0.3">
      <c r="A145" s="398" t="s">
        <v>887</v>
      </c>
      <c r="B145" s="17" t="s">
        <v>480</v>
      </c>
      <c r="C145" s="405" t="s">
        <v>575</v>
      </c>
      <c r="D145" s="481">
        <v>1.3620000000000001</v>
      </c>
      <c r="E145" s="478">
        <v>0.24199999999999999</v>
      </c>
      <c r="F145" s="479">
        <v>2.8000000000000001E-2</v>
      </c>
      <c r="G145" s="476">
        <v>0</v>
      </c>
      <c r="H145" s="476">
        <v>0</v>
      </c>
      <c r="I145" s="516">
        <v>0</v>
      </c>
      <c r="J145" s="482">
        <v>0</v>
      </c>
    </row>
    <row r="146" spans="1:10" ht="35.049999999999997" customHeight="1" x14ac:dyDescent="0.3">
      <c r="A146" s="398" t="s">
        <v>888</v>
      </c>
      <c r="B146" s="17" t="s">
        <v>480</v>
      </c>
      <c r="C146" s="405" t="s">
        <v>640</v>
      </c>
      <c r="D146" s="481">
        <v>1.2629999999999999</v>
      </c>
      <c r="E146" s="478">
        <v>0.224</v>
      </c>
      <c r="F146" s="479">
        <v>2.5999999999999999E-2</v>
      </c>
      <c r="G146" s="480">
        <v>2.29</v>
      </c>
      <c r="H146" s="476">
        <v>0</v>
      </c>
      <c r="I146" s="516">
        <v>0</v>
      </c>
      <c r="J146" s="482">
        <v>0</v>
      </c>
    </row>
    <row r="147" spans="1:10" ht="35.049999999999997" customHeight="1" x14ac:dyDescent="0.3">
      <c r="A147" s="398" t="s">
        <v>889</v>
      </c>
      <c r="B147" s="17" t="s">
        <v>480</v>
      </c>
      <c r="C147" s="405" t="s">
        <v>640</v>
      </c>
      <c r="D147" s="481">
        <v>1.2629999999999999</v>
      </c>
      <c r="E147" s="478">
        <v>0.224</v>
      </c>
      <c r="F147" s="479">
        <v>2.5999999999999999E-2</v>
      </c>
      <c r="G147" s="480">
        <v>3.1</v>
      </c>
      <c r="H147" s="476">
        <v>0</v>
      </c>
      <c r="I147" s="516">
        <v>0</v>
      </c>
      <c r="J147" s="482">
        <v>0</v>
      </c>
    </row>
    <row r="148" spans="1:10" ht="35.049999999999997" customHeight="1" x14ac:dyDescent="0.3">
      <c r="A148" s="398" t="s">
        <v>890</v>
      </c>
      <c r="B148" s="17" t="s">
        <v>480</v>
      </c>
      <c r="C148" s="405" t="s">
        <v>640</v>
      </c>
      <c r="D148" s="481">
        <v>1.2629999999999999</v>
      </c>
      <c r="E148" s="478">
        <v>0.224</v>
      </c>
      <c r="F148" s="479">
        <v>2.5999999999999999E-2</v>
      </c>
      <c r="G148" s="480">
        <v>6.32</v>
      </c>
      <c r="H148" s="476">
        <v>0</v>
      </c>
      <c r="I148" s="516">
        <v>0</v>
      </c>
      <c r="J148" s="482">
        <v>0</v>
      </c>
    </row>
    <row r="149" spans="1:10" ht="35.049999999999997" customHeight="1" x14ac:dyDescent="0.3">
      <c r="A149" s="398" t="s">
        <v>891</v>
      </c>
      <c r="B149" s="17" t="s">
        <v>480</v>
      </c>
      <c r="C149" s="405" t="s">
        <v>640</v>
      </c>
      <c r="D149" s="481">
        <v>1.2629999999999999</v>
      </c>
      <c r="E149" s="478">
        <v>0.224</v>
      </c>
      <c r="F149" s="479">
        <v>2.5999999999999999E-2</v>
      </c>
      <c r="G149" s="480">
        <v>11.93</v>
      </c>
      <c r="H149" s="476">
        <v>0</v>
      </c>
      <c r="I149" s="516">
        <v>0</v>
      </c>
      <c r="J149" s="482">
        <v>0</v>
      </c>
    </row>
    <row r="150" spans="1:10" ht="35.049999999999997" customHeight="1" x14ac:dyDescent="0.3">
      <c r="A150" s="398" t="s">
        <v>892</v>
      </c>
      <c r="B150" s="17" t="s">
        <v>480</v>
      </c>
      <c r="C150" s="405" t="s">
        <v>640</v>
      </c>
      <c r="D150" s="481">
        <v>1.2629999999999999</v>
      </c>
      <c r="E150" s="478">
        <v>0.224</v>
      </c>
      <c r="F150" s="479">
        <v>2.5999999999999999E-2</v>
      </c>
      <c r="G150" s="480">
        <v>34.21</v>
      </c>
      <c r="H150" s="476">
        <v>0</v>
      </c>
      <c r="I150" s="516">
        <v>0</v>
      </c>
      <c r="J150" s="482">
        <v>0</v>
      </c>
    </row>
    <row r="151" spans="1:10" ht="35.049999999999997" customHeight="1" x14ac:dyDescent="0.3">
      <c r="A151" s="398" t="s">
        <v>592</v>
      </c>
      <c r="B151" s="17" t="s">
        <v>480</v>
      </c>
      <c r="C151" s="405" t="s">
        <v>577</v>
      </c>
      <c r="D151" s="481">
        <v>1.2629999999999999</v>
      </c>
      <c r="E151" s="478">
        <v>0.224</v>
      </c>
      <c r="F151" s="479">
        <v>2.5999999999999999E-2</v>
      </c>
      <c r="G151" s="476">
        <v>0</v>
      </c>
      <c r="H151" s="476">
        <v>0</v>
      </c>
      <c r="I151" s="516">
        <v>0</v>
      </c>
      <c r="J151" s="482">
        <v>0</v>
      </c>
    </row>
    <row r="152" spans="1:10" ht="35.049999999999997" customHeight="1" x14ac:dyDescent="0.3">
      <c r="A152" s="398" t="s">
        <v>893</v>
      </c>
      <c r="B152" s="17" t="s">
        <v>480</v>
      </c>
      <c r="C152" s="405">
        <v>0</v>
      </c>
      <c r="D152" s="481">
        <v>0.98599999999999999</v>
      </c>
      <c r="E152" s="478">
        <v>0.17699999999999999</v>
      </c>
      <c r="F152" s="479">
        <v>0.02</v>
      </c>
      <c r="G152" s="480">
        <v>3.1</v>
      </c>
      <c r="H152" s="480">
        <v>1.02</v>
      </c>
      <c r="I152" s="485">
        <v>1.8</v>
      </c>
      <c r="J152" s="475">
        <v>2.4E-2</v>
      </c>
    </row>
    <row r="153" spans="1:10" ht="35.049999999999997" customHeight="1" x14ac:dyDescent="0.3">
      <c r="A153" s="398" t="s">
        <v>894</v>
      </c>
      <c r="B153" s="17" t="s">
        <v>480</v>
      </c>
      <c r="C153" s="405">
        <v>0</v>
      </c>
      <c r="D153" s="481">
        <v>0.98599999999999999</v>
      </c>
      <c r="E153" s="478">
        <v>0.17699999999999999</v>
      </c>
      <c r="F153" s="479">
        <v>0.02</v>
      </c>
      <c r="G153" s="480">
        <v>55.93</v>
      </c>
      <c r="H153" s="480">
        <v>1.02</v>
      </c>
      <c r="I153" s="485">
        <v>1.8</v>
      </c>
      <c r="J153" s="475">
        <v>2.4E-2</v>
      </c>
    </row>
    <row r="154" spans="1:10" ht="35.049999999999997" customHeight="1" x14ac:dyDescent="0.3">
      <c r="A154" s="398" t="s">
        <v>895</v>
      </c>
      <c r="B154" s="17" t="s">
        <v>480</v>
      </c>
      <c r="C154" s="405">
        <v>0</v>
      </c>
      <c r="D154" s="481">
        <v>0.98599999999999999</v>
      </c>
      <c r="E154" s="478">
        <v>0.17699999999999999</v>
      </c>
      <c r="F154" s="479">
        <v>0.02</v>
      </c>
      <c r="G154" s="480">
        <v>102.29</v>
      </c>
      <c r="H154" s="480">
        <v>1.02</v>
      </c>
      <c r="I154" s="485">
        <v>1.8</v>
      </c>
      <c r="J154" s="475">
        <v>2.4E-2</v>
      </c>
    </row>
    <row r="155" spans="1:10" ht="35.049999999999997" customHeight="1" x14ac:dyDescent="0.3">
      <c r="A155" s="398" t="s">
        <v>896</v>
      </c>
      <c r="B155" s="17" t="s">
        <v>480</v>
      </c>
      <c r="C155" s="405">
        <v>0</v>
      </c>
      <c r="D155" s="481">
        <v>0.98599999999999999</v>
      </c>
      <c r="E155" s="478">
        <v>0.17699999999999999</v>
      </c>
      <c r="F155" s="479">
        <v>0.02</v>
      </c>
      <c r="G155" s="480">
        <v>160.83000000000001</v>
      </c>
      <c r="H155" s="480">
        <v>1.02</v>
      </c>
      <c r="I155" s="485">
        <v>1.8</v>
      </c>
      <c r="J155" s="475">
        <v>2.4E-2</v>
      </c>
    </row>
    <row r="156" spans="1:10" ht="35.049999999999997" customHeight="1" x14ac:dyDescent="0.3">
      <c r="A156" s="398" t="s">
        <v>897</v>
      </c>
      <c r="B156" s="17" t="s">
        <v>480</v>
      </c>
      <c r="C156" s="405">
        <v>0</v>
      </c>
      <c r="D156" s="481">
        <v>0.98599999999999999</v>
      </c>
      <c r="E156" s="478">
        <v>0.17699999999999999</v>
      </c>
      <c r="F156" s="479">
        <v>0.02</v>
      </c>
      <c r="G156" s="480">
        <v>276.87</v>
      </c>
      <c r="H156" s="480">
        <v>1.02</v>
      </c>
      <c r="I156" s="485">
        <v>1.8</v>
      </c>
      <c r="J156" s="475">
        <v>2.4E-2</v>
      </c>
    </row>
    <row r="157" spans="1:10" ht="35.049999999999997" customHeight="1" x14ac:dyDescent="0.3">
      <c r="A157" s="398" t="s">
        <v>898</v>
      </c>
      <c r="B157" s="17" t="s">
        <v>480</v>
      </c>
      <c r="C157" s="405">
        <v>0</v>
      </c>
      <c r="D157" s="481">
        <v>0.77100000000000002</v>
      </c>
      <c r="E157" s="478">
        <v>0.14199999999999999</v>
      </c>
      <c r="F157" s="479">
        <v>1.2999999999999999E-2</v>
      </c>
      <c r="G157" s="480">
        <v>3.66</v>
      </c>
      <c r="H157" s="480">
        <v>1.69</v>
      </c>
      <c r="I157" s="485">
        <v>2.2999999999999998</v>
      </c>
      <c r="J157" s="475">
        <v>2.1999999999999999E-2</v>
      </c>
    </row>
    <row r="158" spans="1:10" ht="35.049999999999997" customHeight="1" x14ac:dyDescent="0.3">
      <c r="A158" s="398" t="s">
        <v>899</v>
      </c>
      <c r="B158" s="17" t="s">
        <v>480</v>
      </c>
      <c r="C158" s="405">
        <v>0</v>
      </c>
      <c r="D158" s="481">
        <v>0.77100000000000002</v>
      </c>
      <c r="E158" s="478">
        <v>0.14199999999999999</v>
      </c>
      <c r="F158" s="479">
        <v>1.2999999999999999E-2</v>
      </c>
      <c r="G158" s="480">
        <v>84.14</v>
      </c>
      <c r="H158" s="480">
        <v>1.69</v>
      </c>
      <c r="I158" s="485">
        <v>2.2999999999999998</v>
      </c>
      <c r="J158" s="475">
        <v>2.1999999999999999E-2</v>
      </c>
    </row>
    <row r="159" spans="1:10" ht="35.049999999999997" customHeight="1" x14ac:dyDescent="0.3">
      <c r="A159" s="398" t="s">
        <v>900</v>
      </c>
      <c r="B159" s="17" t="s">
        <v>480</v>
      </c>
      <c r="C159" s="405">
        <v>0</v>
      </c>
      <c r="D159" s="481">
        <v>0.77100000000000002</v>
      </c>
      <c r="E159" s="478">
        <v>0.14199999999999999</v>
      </c>
      <c r="F159" s="479">
        <v>1.2999999999999999E-2</v>
      </c>
      <c r="G159" s="480">
        <v>154.78</v>
      </c>
      <c r="H159" s="480">
        <v>1.69</v>
      </c>
      <c r="I159" s="485">
        <v>2.2999999999999998</v>
      </c>
      <c r="J159" s="475">
        <v>2.1999999999999999E-2</v>
      </c>
    </row>
    <row r="160" spans="1:10" ht="35.049999999999997" customHeight="1" x14ac:dyDescent="0.3">
      <c r="A160" s="398" t="s">
        <v>901</v>
      </c>
      <c r="B160" s="17" t="s">
        <v>480</v>
      </c>
      <c r="C160" s="405">
        <v>0</v>
      </c>
      <c r="D160" s="481">
        <v>0.77100000000000002</v>
      </c>
      <c r="E160" s="478">
        <v>0.14199999999999999</v>
      </c>
      <c r="F160" s="479">
        <v>1.2999999999999999E-2</v>
      </c>
      <c r="G160" s="480">
        <v>243.96</v>
      </c>
      <c r="H160" s="480">
        <v>1.69</v>
      </c>
      <c r="I160" s="485">
        <v>2.2999999999999998</v>
      </c>
      <c r="J160" s="475">
        <v>2.1999999999999999E-2</v>
      </c>
    </row>
    <row r="161" spans="1:10" ht="35.049999999999997" customHeight="1" x14ac:dyDescent="0.3">
      <c r="A161" s="398" t="s">
        <v>902</v>
      </c>
      <c r="B161" s="17" t="s">
        <v>480</v>
      </c>
      <c r="C161" s="405">
        <v>0</v>
      </c>
      <c r="D161" s="481">
        <v>0.77100000000000002</v>
      </c>
      <c r="E161" s="478">
        <v>0.14199999999999999</v>
      </c>
      <c r="F161" s="479">
        <v>1.2999999999999999E-2</v>
      </c>
      <c r="G161" s="480">
        <v>420.74</v>
      </c>
      <c r="H161" s="480">
        <v>1.69</v>
      </c>
      <c r="I161" s="485">
        <v>2.2999999999999998</v>
      </c>
      <c r="J161" s="475">
        <v>2.1999999999999999E-2</v>
      </c>
    </row>
    <row r="162" spans="1:10" ht="35.049999999999997" customHeight="1" x14ac:dyDescent="0.3">
      <c r="A162" s="398" t="s">
        <v>903</v>
      </c>
      <c r="B162" s="17" t="s">
        <v>480</v>
      </c>
      <c r="C162" s="405">
        <v>0</v>
      </c>
      <c r="D162" s="481">
        <v>0.42699999999999999</v>
      </c>
      <c r="E162" s="478">
        <v>7.4999999999999997E-2</v>
      </c>
      <c r="F162" s="479">
        <v>6.0000000000000001E-3</v>
      </c>
      <c r="G162" s="480">
        <v>37.01</v>
      </c>
      <c r="H162" s="480">
        <v>2.0299999999999998</v>
      </c>
      <c r="I162" s="485">
        <v>2.65</v>
      </c>
      <c r="J162" s="475">
        <v>1.0999999999999999E-2</v>
      </c>
    </row>
    <row r="163" spans="1:10" ht="35.049999999999997" customHeight="1" x14ac:dyDescent="0.3">
      <c r="A163" s="398" t="s">
        <v>904</v>
      </c>
      <c r="B163" s="17" t="s">
        <v>480</v>
      </c>
      <c r="C163" s="405">
        <v>0</v>
      </c>
      <c r="D163" s="481">
        <v>0.42699999999999999</v>
      </c>
      <c r="E163" s="478">
        <v>7.4999999999999997E-2</v>
      </c>
      <c r="F163" s="479">
        <v>6.0000000000000001E-3</v>
      </c>
      <c r="G163" s="480">
        <v>452.01</v>
      </c>
      <c r="H163" s="480">
        <v>2.0299999999999998</v>
      </c>
      <c r="I163" s="485">
        <v>2.65</v>
      </c>
      <c r="J163" s="475">
        <v>1.0999999999999999E-2</v>
      </c>
    </row>
    <row r="164" spans="1:10" ht="35.049999999999997" customHeight="1" x14ac:dyDescent="0.3">
      <c r="A164" s="398" t="s">
        <v>905</v>
      </c>
      <c r="B164" s="17" t="s">
        <v>480</v>
      </c>
      <c r="C164" s="405">
        <v>0</v>
      </c>
      <c r="D164" s="481">
        <v>0.42699999999999999</v>
      </c>
      <c r="E164" s="478">
        <v>7.4999999999999997E-2</v>
      </c>
      <c r="F164" s="479">
        <v>6.0000000000000001E-3</v>
      </c>
      <c r="G164" s="480">
        <v>1338.96</v>
      </c>
      <c r="H164" s="480">
        <v>2.0299999999999998</v>
      </c>
      <c r="I164" s="485">
        <v>2.65</v>
      </c>
      <c r="J164" s="475">
        <v>1.0999999999999999E-2</v>
      </c>
    </row>
    <row r="165" spans="1:10" ht="35.049999999999997" customHeight="1" x14ac:dyDescent="0.3">
      <c r="A165" s="398" t="s">
        <v>906</v>
      </c>
      <c r="B165" s="17" t="s">
        <v>480</v>
      </c>
      <c r="C165" s="405">
        <v>0</v>
      </c>
      <c r="D165" s="481">
        <v>0.42699999999999999</v>
      </c>
      <c r="E165" s="478">
        <v>7.4999999999999997E-2</v>
      </c>
      <c r="F165" s="479">
        <v>6.0000000000000001E-3</v>
      </c>
      <c r="G165" s="480">
        <v>2943.51</v>
      </c>
      <c r="H165" s="480">
        <v>2.0299999999999998</v>
      </c>
      <c r="I165" s="485">
        <v>2.65</v>
      </c>
      <c r="J165" s="475">
        <v>1.0999999999999999E-2</v>
      </c>
    </row>
    <row r="166" spans="1:10" ht="35.049999999999997" customHeight="1" x14ac:dyDescent="0.3">
      <c r="A166" s="398" t="s">
        <v>907</v>
      </c>
      <c r="B166" s="17" t="s">
        <v>480</v>
      </c>
      <c r="C166" s="405">
        <v>0</v>
      </c>
      <c r="D166" s="481">
        <v>0.42699999999999999</v>
      </c>
      <c r="E166" s="478">
        <v>7.4999999999999997E-2</v>
      </c>
      <c r="F166" s="479">
        <v>6.0000000000000001E-3</v>
      </c>
      <c r="G166" s="480">
        <v>9091.1200000000008</v>
      </c>
      <c r="H166" s="480">
        <v>2.0299999999999998</v>
      </c>
      <c r="I166" s="485">
        <v>2.65</v>
      </c>
      <c r="J166" s="475">
        <v>1.0999999999999999E-2</v>
      </c>
    </row>
    <row r="167" spans="1:10" ht="35.049999999999997" customHeight="1" x14ac:dyDescent="0.3">
      <c r="A167" s="398" t="s">
        <v>593</v>
      </c>
      <c r="B167" s="17" t="s">
        <v>480</v>
      </c>
      <c r="C167" s="405" t="s">
        <v>616</v>
      </c>
      <c r="D167" s="477">
        <v>4.2569999999999997</v>
      </c>
      <c r="E167" s="483">
        <v>0.60199999999999998</v>
      </c>
      <c r="F167" s="479">
        <v>0.42199999999999999</v>
      </c>
      <c r="G167" s="476">
        <v>0</v>
      </c>
      <c r="H167" s="476">
        <v>0</v>
      </c>
      <c r="I167" s="516">
        <v>0</v>
      </c>
      <c r="J167" s="482">
        <v>0</v>
      </c>
    </row>
    <row r="168" spans="1:10" ht="35.049999999999997" customHeight="1" x14ac:dyDescent="0.3">
      <c r="A168" s="398" t="s">
        <v>706</v>
      </c>
      <c r="B168" s="17" t="s">
        <v>480</v>
      </c>
      <c r="C168" s="405">
        <v>0</v>
      </c>
      <c r="D168" s="481">
        <v>-1.3260000000000001</v>
      </c>
      <c r="E168" s="478">
        <v>-0.23499999999999999</v>
      </c>
      <c r="F168" s="479">
        <v>-2.8000000000000001E-2</v>
      </c>
      <c r="G168" s="508">
        <v>0</v>
      </c>
      <c r="H168" s="476">
        <v>0</v>
      </c>
      <c r="I168" s="516">
        <v>0</v>
      </c>
      <c r="J168" s="482">
        <v>0</v>
      </c>
    </row>
    <row r="169" spans="1:10" ht="35.049999999999997" customHeight="1" x14ac:dyDescent="0.3">
      <c r="A169" s="398" t="s">
        <v>707</v>
      </c>
      <c r="B169" s="17" t="s">
        <v>480</v>
      </c>
      <c r="C169" s="405">
        <v>0</v>
      </c>
      <c r="D169" s="481">
        <v>-1.2509999999999999</v>
      </c>
      <c r="E169" s="478">
        <v>-0.224</v>
      </c>
      <c r="F169" s="479">
        <v>-2.5000000000000001E-2</v>
      </c>
      <c r="G169" s="508">
        <v>0</v>
      </c>
      <c r="H169" s="476">
        <v>0</v>
      </c>
      <c r="I169" s="516">
        <v>0</v>
      </c>
      <c r="J169" s="482">
        <v>0</v>
      </c>
    </row>
    <row r="170" spans="1:10" ht="35.049999999999997" customHeight="1" x14ac:dyDescent="0.3">
      <c r="A170" s="398" t="s">
        <v>708</v>
      </c>
      <c r="B170" s="17" t="s">
        <v>480</v>
      </c>
      <c r="C170" s="405">
        <v>0</v>
      </c>
      <c r="D170" s="481">
        <v>-1.3260000000000001</v>
      </c>
      <c r="E170" s="478">
        <v>-0.23499999999999999</v>
      </c>
      <c r="F170" s="479">
        <v>-2.8000000000000001E-2</v>
      </c>
      <c r="G170" s="508">
        <v>0</v>
      </c>
      <c r="H170" s="476">
        <v>0</v>
      </c>
      <c r="I170" s="516">
        <v>0</v>
      </c>
      <c r="J170" s="475">
        <v>4.2000000000000003E-2</v>
      </c>
    </row>
    <row r="171" spans="1:10" ht="35.049999999999997" customHeight="1" x14ac:dyDescent="0.3">
      <c r="A171" s="398" t="s">
        <v>709</v>
      </c>
      <c r="B171" s="17" t="s">
        <v>480</v>
      </c>
      <c r="C171" s="405">
        <v>0</v>
      </c>
      <c r="D171" s="481">
        <v>-1.2509999999999999</v>
      </c>
      <c r="E171" s="478">
        <v>-0.224</v>
      </c>
      <c r="F171" s="479">
        <v>-2.5000000000000001E-2</v>
      </c>
      <c r="G171" s="508">
        <v>0</v>
      </c>
      <c r="H171" s="476">
        <v>0</v>
      </c>
      <c r="I171" s="516">
        <v>0</v>
      </c>
      <c r="J171" s="475">
        <v>3.6999999999999998E-2</v>
      </c>
    </row>
    <row r="172" spans="1:10" ht="35.049999999999997" customHeight="1" x14ac:dyDescent="0.3">
      <c r="A172" s="398" t="s">
        <v>710</v>
      </c>
      <c r="B172" s="17" t="s">
        <v>480</v>
      </c>
      <c r="C172" s="405">
        <v>0</v>
      </c>
      <c r="D172" s="481">
        <v>-0.88800000000000001</v>
      </c>
      <c r="E172" s="478">
        <v>-0.16300000000000001</v>
      </c>
      <c r="F172" s="479">
        <v>-1.4999999999999999E-2</v>
      </c>
      <c r="G172" s="480">
        <v>32.39</v>
      </c>
      <c r="H172" s="476">
        <v>0</v>
      </c>
      <c r="I172" s="516">
        <v>0</v>
      </c>
      <c r="J172" s="475">
        <v>0.04</v>
      </c>
    </row>
    <row r="173" spans="1:10" ht="35.049999999999997" customHeight="1" x14ac:dyDescent="0.3">
      <c r="A173" s="398" t="s">
        <v>908</v>
      </c>
      <c r="B173" s="17" t="s">
        <v>480</v>
      </c>
      <c r="C173" s="405" t="s">
        <v>639</v>
      </c>
      <c r="D173" s="481">
        <v>0.28499999999999998</v>
      </c>
      <c r="E173" s="478">
        <v>5.0999999999999997E-2</v>
      </c>
      <c r="F173" s="479">
        <v>6.0000000000000001E-3</v>
      </c>
      <c r="G173" s="480">
        <v>0.88</v>
      </c>
      <c r="H173" s="476">
        <v>0</v>
      </c>
      <c r="I173" s="516">
        <v>0</v>
      </c>
      <c r="J173" s="482">
        <v>0</v>
      </c>
    </row>
    <row r="174" spans="1:10" ht="35.049999999999997" customHeight="1" x14ac:dyDescent="0.3">
      <c r="A174" s="398" t="s">
        <v>909</v>
      </c>
      <c r="B174" s="17" t="s">
        <v>480</v>
      </c>
      <c r="C174" s="405" t="s">
        <v>575</v>
      </c>
      <c r="D174" s="481">
        <v>0.28499999999999998</v>
      </c>
      <c r="E174" s="478">
        <v>5.0999999999999997E-2</v>
      </c>
      <c r="F174" s="479">
        <v>6.0000000000000001E-3</v>
      </c>
      <c r="G174" s="476">
        <v>0</v>
      </c>
      <c r="H174" s="476">
        <v>0</v>
      </c>
      <c r="I174" s="516">
        <v>0</v>
      </c>
      <c r="J174" s="482">
        <v>0</v>
      </c>
    </row>
    <row r="175" spans="1:10" ht="35.049999999999997" customHeight="1" x14ac:dyDescent="0.3">
      <c r="A175" s="398" t="s">
        <v>910</v>
      </c>
      <c r="B175" s="17" t="s">
        <v>480</v>
      </c>
      <c r="C175" s="405" t="s">
        <v>640</v>
      </c>
      <c r="D175" s="481">
        <v>0.26400000000000001</v>
      </c>
      <c r="E175" s="478">
        <v>4.7E-2</v>
      </c>
      <c r="F175" s="479">
        <v>6.0000000000000001E-3</v>
      </c>
      <c r="G175" s="480">
        <v>0.6</v>
      </c>
      <c r="H175" s="476">
        <v>0</v>
      </c>
      <c r="I175" s="516">
        <v>0</v>
      </c>
      <c r="J175" s="482">
        <v>0</v>
      </c>
    </row>
    <row r="176" spans="1:10" ht="35.049999999999997" customHeight="1" x14ac:dyDescent="0.3">
      <c r="A176" s="398" t="s">
        <v>911</v>
      </c>
      <c r="B176" s="17" t="s">
        <v>480</v>
      </c>
      <c r="C176" s="405" t="s">
        <v>640</v>
      </c>
      <c r="D176" s="481">
        <v>0.26400000000000001</v>
      </c>
      <c r="E176" s="478">
        <v>4.7E-2</v>
      </c>
      <c r="F176" s="479">
        <v>6.0000000000000001E-3</v>
      </c>
      <c r="G176" s="480">
        <v>0.77</v>
      </c>
      <c r="H176" s="476">
        <v>0</v>
      </c>
      <c r="I176" s="516">
        <v>0</v>
      </c>
      <c r="J176" s="482">
        <v>0</v>
      </c>
    </row>
    <row r="177" spans="1:10" ht="35.049999999999997" customHeight="1" x14ac:dyDescent="0.3">
      <c r="A177" s="398" t="s">
        <v>912</v>
      </c>
      <c r="B177" s="17" t="s">
        <v>480</v>
      </c>
      <c r="C177" s="405" t="s">
        <v>640</v>
      </c>
      <c r="D177" s="481">
        <v>0.26400000000000001</v>
      </c>
      <c r="E177" s="478">
        <v>4.7E-2</v>
      </c>
      <c r="F177" s="479">
        <v>6.0000000000000001E-3</v>
      </c>
      <c r="G177" s="480">
        <v>1.44</v>
      </c>
      <c r="H177" s="476">
        <v>0</v>
      </c>
      <c r="I177" s="516">
        <v>0</v>
      </c>
      <c r="J177" s="482">
        <v>0</v>
      </c>
    </row>
    <row r="178" spans="1:10" ht="35.049999999999997" customHeight="1" x14ac:dyDescent="0.3">
      <c r="A178" s="398" t="s">
        <v>913</v>
      </c>
      <c r="B178" s="17" t="s">
        <v>480</v>
      </c>
      <c r="C178" s="405" t="s">
        <v>640</v>
      </c>
      <c r="D178" s="481">
        <v>0.26400000000000001</v>
      </c>
      <c r="E178" s="478">
        <v>4.7E-2</v>
      </c>
      <c r="F178" s="479">
        <v>6.0000000000000001E-3</v>
      </c>
      <c r="G178" s="480">
        <v>2.62</v>
      </c>
      <c r="H178" s="476">
        <v>0</v>
      </c>
      <c r="I178" s="516">
        <v>0</v>
      </c>
      <c r="J178" s="482">
        <v>0</v>
      </c>
    </row>
    <row r="179" spans="1:10" ht="35.049999999999997" customHeight="1" x14ac:dyDescent="0.3">
      <c r="A179" s="398" t="s">
        <v>914</v>
      </c>
      <c r="B179" s="17" t="s">
        <v>480</v>
      </c>
      <c r="C179" s="405" t="s">
        <v>640</v>
      </c>
      <c r="D179" s="481">
        <v>0.26400000000000001</v>
      </c>
      <c r="E179" s="478">
        <v>4.7E-2</v>
      </c>
      <c r="F179" s="479">
        <v>6.0000000000000001E-3</v>
      </c>
      <c r="G179" s="480">
        <v>7.27</v>
      </c>
      <c r="H179" s="476">
        <v>0</v>
      </c>
      <c r="I179" s="516">
        <v>0</v>
      </c>
      <c r="J179" s="482">
        <v>0</v>
      </c>
    </row>
    <row r="180" spans="1:10" ht="35.049999999999997" customHeight="1" x14ac:dyDescent="0.3">
      <c r="A180" s="398" t="s">
        <v>594</v>
      </c>
      <c r="B180" s="17" t="s">
        <v>480</v>
      </c>
      <c r="C180" s="405" t="s">
        <v>577</v>
      </c>
      <c r="D180" s="481">
        <v>0.26400000000000001</v>
      </c>
      <c r="E180" s="478">
        <v>4.7E-2</v>
      </c>
      <c r="F180" s="479">
        <v>6.0000000000000001E-3</v>
      </c>
      <c r="G180" s="476">
        <v>0</v>
      </c>
      <c r="H180" s="476">
        <v>0</v>
      </c>
      <c r="I180" s="516">
        <v>0</v>
      </c>
      <c r="J180" s="482">
        <v>0</v>
      </c>
    </row>
    <row r="181" spans="1:10" ht="35.049999999999997" customHeight="1" x14ac:dyDescent="0.3">
      <c r="A181" s="398" t="s">
        <v>915</v>
      </c>
      <c r="B181" s="17" t="s">
        <v>480</v>
      </c>
      <c r="C181" s="405">
        <v>0</v>
      </c>
      <c r="D181" s="481">
        <v>0.20599999999999999</v>
      </c>
      <c r="E181" s="478">
        <v>3.6999999999999998E-2</v>
      </c>
      <c r="F181" s="479">
        <v>4.0000000000000001E-3</v>
      </c>
      <c r="G181" s="480">
        <v>0.77</v>
      </c>
      <c r="H181" s="480">
        <v>0.21</v>
      </c>
      <c r="I181" s="485">
        <v>0.38</v>
      </c>
      <c r="J181" s="475">
        <v>5.0000000000000001E-3</v>
      </c>
    </row>
    <row r="182" spans="1:10" ht="35.049999999999997" customHeight="1" x14ac:dyDescent="0.3">
      <c r="A182" s="398" t="s">
        <v>916</v>
      </c>
      <c r="B182" s="17" t="s">
        <v>480</v>
      </c>
      <c r="C182" s="405">
        <v>0</v>
      </c>
      <c r="D182" s="481">
        <v>0.20599999999999999</v>
      </c>
      <c r="E182" s="478">
        <v>3.6999999999999998E-2</v>
      </c>
      <c r="F182" s="479">
        <v>4.0000000000000001E-3</v>
      </c>
      <c r="G182" s="480">
        <v>11.81</v>
      </c>
      <c r="H182" s="480">
        <v>0.21</v>
      </c>
      <c r="I182" s="485">
        <v>0.38</v>
      </c>
      <c r="J182" s="475">
        <v>5.0000000000000001E-3</v>
      </c>
    </row>
    <row r="183" spans="1:10" ht="35.049999999999997" customHeight="1" x14ac:dyDescent="0.3">
      <c r="A183" s="398" t="s">
        <v>917</v>
      </c>
      <c r="B183" s="17" t="s">
        <v>480</v>
      </c>
      <c r="C183" s="405">
        <v>0</v>
      </c>
      <c r="D183" s="481">
        <v>0.20599999999999999</v>
      </c>
      <c r="E183" s="478">
        <v>3.6999999999999998E-2</v>
      </c>
      <c r="F183" s="479">
        <v>4.0000000000000001E-3</v>
      </c>
      <c r="G183" s="480">
        <v>21.49</v>
      </c>
      <c r="H183" s="480">
        <v>0.21</v>
      </c>
      <c r="I183" s="485">
        <v>0.38</v>
      </c>
      <c r="J183" s="475">
        <v>5.0000000000000001E-3</v>
      </c>
    </row>
    <row r="184" spans="1:10" ht="35.049999999999997" customHeight="1" x14ac:dyDescent="0.3">
      <c r="A184" s="398" t="s">
        <v>918</v>
      </c>
      <c r="B184" s="17" t="s">
        <v>480</v>
      </c>
      <c r="C184" s="405">
        <v>0</v>
      </c>
      <c r="D184" s="481">
        <v>0.20599999999999999</v>
      </c>
      <c r="E184" s="478">
        <v>3.6999999999999998E-2</v>
      </c>
      <c r="F184" s="479">
        <v>4.0000000000000001E-3</v>
      </c>
      <c r="G184" s="480">
        <v>33.72</v>
      </c>
      <c r="H184" s="480">
        <v>0.21</v>
      </c>
      <c r="I184" s="485">
        <v>0.38</v>
      </c>
      <c r="J184" s="475">
        <v>5.0000000000000001E-3</v>
      </c>
    </row>
    <row r="185" spans="1:10" ht="35.049999999999997" customHeight="1" x14ac:dyDescent="0.3">
      <c r="A185" s="398" t="s">
        <v>919</v>
      </c>
      <c r="B185" s="17" t="s">
        <v>480</v>
      </c>
      <c r="C185" s="405">
        <v>0</v>
      </c>
      <c r="D185" s="481">
        <v>0.20599999999999999</v>
      </c>
      <c r="E185" s="478">
        <v>3.6999999999999998E-2</v>
      </c>
      <c r="F185" s="479">
        <v>4.0000000000000001E-3</v>
      </c>
      <c r="G185" s="480">
        <v>57.96</v>
      </c>
      <c r="H185" s="480">
        <v>0.21</v>
      </c>
      <c r="I185" s="485">
        <v>0.38</v>
      </c>
      <c r="J185" s="475">
        <v>5.0000000000000001E-3</v>
      </c>
    </row>
    <row r="186" spans="1:10" ht="35.049999999999997" customHeight="1" x14ac:dyDescent="0.3">
      <c r="A186" s="398" t="s">
        <v>920</v>
      </c>
      <c r="B186" s="17" t="s">
        <v>480</v>
      </c>
      <c r="C186" s="405">
        <v>0</v>
      </c>
      <c r="D186" s="481">
        <v>0.161</v>
      </c>
      <c r="E186" s="478">
        <v>0.03</v>
      </c>
      <c r="F186" s="479">
        <v>3.0000000000000001E-3</v>
      </c>
      <c r="G186" s="480">
        <v>0.89</v>
      </c>
      <c r="H186" s="480">
        <v>0.35</v>
      </c>
      <c r="I186" s="485">
        <v>0.48</v>
      </c>
      <c r="J186" s="475">
        <v>5.0000000000000001E-3</v>
      </c>
    </row>
    <row r="187" spans="1:10" ht="35.049999999999997" customHeight="1" x14ac:dyDescent="0.3">
      <c r="A187" s="398" t="s">
        <v>921</v>
      </c>
      <c r="B187" s="17" t="s">
        <v>480</v>
      </c>
      <c r="C187" s="405">
        <v>0</v>
      </c>
      <c r="D187" s="481">
        <v>0.161</v>
      </c>
      <c r="E187" s="478">
        <v>0.03</v>
      </c>
      <c r="F187" s="479">
        <v>3.0000000000000001E-3</v>
      </c>
      <c r="G187" s="480">
        <v>17.7</v>
      </c>
      <c r="H187" s="480">
        <v>0.35</v>
      </c>
      <c r="I187" s="485">
        <v>0.48</v>
      </c>
      <c r="J187" s="475">
        <v>5.0000000000000001E-3</v>
      </c>
    </row>
    <row r="188" spans="1:10" ht="35.049999999999997" customHeight="1" x14ac:dyDescent="0.3">
      <c r="A188" s="398" t="s">
        <v>922</v>
      </c>
      <c r="B188" s="17" t="s">
        <v>480</v>
      </c>
      <c r="C188" s="405">
        <v>0</v>
      </c>
      <c r="D188" s="481">
        <v>0.161</v>
      </c>
      <c r="E188" s="478">
        <v>0.03</v>
      </c>
      <c r="F188" s="479">
        <v>3.0000000000000001E-3</v>
      </c>
      <c r="G188" s="480">
        <v>32.46</v>
      </c>
      <c r="H188" s="480">
        <v>0.35</v>
      </c>
      <c r="I188" s="485">
        <v>0.48</v>
      </c>
      <c r="J188" s="475">
        <v>5.0000000000000001E-3</v>
      </c>
    </row>
    <row r="189" spans="1:10" ht="35.049999999999997" customHeight="1" x14ac:dyDescent="0.3">
      <c r="A189" s="398" t="s">
        <v>923</v>
      </c>
      <c r="B189" s="17" t="s">
        <v>480</v>
      </c>
      <c r="C189" s="405">
        <v>0</v>
      </c>
      <c r="D189" s="481">
        <v>0.161</v>
      </c>
      <c r="E189" s="478">
        <v>0.03</v>
      </c>
      <c r="F189" s="479">
        <v>3.0000000000000001E-3</v>
      </c>
      <c r="G189" s="480">
        <v>51.09</v>
      </c>
      <c r="H189" s="480">
        <v>0.35</v>
      </c>
      <c r="I189" s="485">
        <v>0.48</v>
      </c>
      <c r="J189" s="475">
        <v>5.0000000000000001E-3</v>
      </c>
    </row>
    <row r="190" spans="1:10" ht="35.049999999999997" customHeight="1" x14ac:dyDescent="0.3">
      <c r="A190" s="398" t="s">
        <v>924</v>
      </c>
      <c r="B190" s="17" t="s">
        <v>480</v>
      </c>
      <c r="C190" s="405">
        <v>0</v>
      </c>
      <c r="D190" s="481">
        <v>0.161</v>
      </c>
      <c r="E190" s="478">
        <v>0.03</v>
      </c>
      <c r="F190" s="479">
        <v>3.0000000000000001E-3</v>
      </c>
      <c r="G190" s="480">
        <v>88.02</v>
      </c>
      <c r="H190" s="480">
        <v>0.35</v>
      </c>
      <c r="I190" s="485">
        <v>0.48</v>
      </c>
      <c r="J190" s="475">
        <v>5.0000000000000001E-3</v>
      </c>
    </row>
    <row r="191" spans="1:10" ht="35.049999999999997" customHeight="1" x14ac:dyDescent="0.3">
      <c r="A191" s="398" t="s">
        <v>925</v>
      </c>
      <c r="B191" s="17" t="s">
        <v>480</v>
      </c>
      <c r="C191" s="405">
        <v>0</v>
      </c>
      <c r="D191" s="481">
        <v>8.8999999999999996E-2</v>
      </c>
      <c r="E191" s="478">
        <v>1.6E-2</v>
      </c>
      <c r="F191" s="479">
        <v>1E-3</v>
      </c>
      <c r="G191" s="480">
        <v>7.85</v>
      </c>
      <c r="H191" s="480">
        <v>0.43</v>
      </c>
      <c r="I191" s="485">
        <v>0.55000000000000004</v>
      </c>
      <c r="J191" s="475">
        <v>2E-3</v>
      </c>
    </row>
    <row r="192" spans="1:10" ht="35.049999999999997" customHeight="1" x14ac:dyDescent="0.3">
      <c r="A192" s="398" t="s">
        <v>926</v>
      </c>
      <c r="B192" s="17" t="s">
        <v>480</v>
      </c>
      <c r="C192" s="405">
        <v>0</v>
      </c>
      <c r="D192" s="481">
        <v>8.8999999999999996E-2</v>
      </c>
      <c r="E192" s="478">
        <v>1.6E-2</v>
      </c>
      <c r="F192" s="479">
        <v>1E-3</v>
      </c>
      <c r="G192" s="480">
        <v>94.55</v>
      </c>
      <c r="H192" s="480">
        <v>0.43</v>
      </c>
      <c r="I192" s="485">
        <v>0.55000000000000004</v>
      </c>
      <c r="J192" s="475">
        <v>2E-3</v>
      </c>
    </row>
    <row r="193" spans="1:10" ht="35.049999999999997" customHeight="1" x14ac:dyDescent="0.3">
      <c r="A193" s="398" t="s">
        <v>927</v>
      </c>
      <c r="B193" s="17" t="s">
        <v>480</v>
      </c>
      <c r="C193" s="405">
        <v>0</v>
      </c>
      <c r="D193" s="481">
        <v>8.8999999999999996E-2</v>
      </c>
      <c r="E193" s="478">
        <v>1.6E-2</v>
      </c>
      <c r="F193" s="479">
        <v>1E-3</v>
      </c>
      <c r="G193" s="480">
        <v>279.85000000000002</v>
      </c>
      <c r="H193" s="480">
        <v>0.43</v>
      </c>
      <c r="I193" s="485">
        <v>0.55000000000000004</v>
      </c>
      <c r="J193" s="475">
        <v>2E-3</v>
      </c>
    </row>
    <row r="194" spans="1:10" ht="35.049999999999997" customHeight="1" x14ac:dyDescent="0.3">
      <c r="A194" s="398" t="s">
        <v>928</v>
      </c>
      <c r="B194" s="17" t="s">
        <v>480</v>
      </c>
      <c r="C194" s="405">
        <v>0</v>
      </c>
      <c r="D194" s="481">
        <v>8.8999999999999996E-2</v>
      </c>
      <c r="E194" s="478">
        <v>1.6E-2</v>
      </c>
      <c r="F194" s="479">
        <v>1E-3</v>
      </c>
      <c r="G194" s="480">
        <v>615.04999999999995</v>
      </c>
      <c r="H194" s="480">
        <v>0.43</v>
      </c>
      <c r="I194" s="485">
        <v>0.55000000000000004</v>
      </c>
      <c r="J194" s="475">
        <v>2E-3</v>
      </c>
    </row>
    <row r="195" spans="1:10" ht="35.049999999999997" customHeight="1" x14ac:dyDescent="0.3">
      <c r="A195" s="398" t="s">
        <v>929</v>
      </c>
      <c r="B195" s="17" t="s">
        <v>480</v>
      </c>
      <c r="C195" s="405">
        <v>0</v>
      </c>
      <c r="D195" s="481">
        <v>8.8999999999999996E-2</v>
      </c>
      <c r="E195" s="478">
        <v>1.6E-2</v>
      </c>
      <c r="F195" s="479">
        <v>1E-3</v>
      </c>
      <c r="G195" s="480">
        <v>1899.35</v>
      </c>
      <c r="H195" s="480">
        <v>0.43</v>
      </c>
      <c r="I195" s="485">
        <v>0.55000000000000004</v>
      </c>
      <c r="J195" s="475">
        <v>2E-3</v>
      </c>
    </row>
    <row r="196" spans="1:10" ht="35.049999999999997" customHeight="1" x14ac:dyDescent="0.3">
      <c r="A196" s="398" t="s">
        <v>595</v>
      </c>
      <c r="B196" s="17" t="s">
        <v>480</v>
      </c>
      <c r="C196" s="405" t="s">
        <v>616</v>
      </c>
      <c r="D196" s="477">
        <v>0.88900000000000001</v>
      </c>
      <c r="E196" s="483">
        <v>0.126</v>
      </c>
      <c r="F196" s="479">
        <v>8.7999999999999995E-2</v>
      </c>
      <c r="G196" s="476">
        <v>0</v>
      </c>
      <c r="H196" s="476">
        <v>0</v>
      </c>
      <c r="I196" s="516">
        <v>0</v>
      </c>
      <c r="J196" s="482">
        <v>0</v>
      </c>
    </row>
    <row r="197" spans="1:10" ht="35.049999999999997" customHeight="1" x14ac:dyDescent="0.3">
      <c r="A197" s="398" t="s">
        <v>711</v>
      </c>
      <c r="B197" s="17" t="s">
        <v>480</v>
      </c>
      <c r="C197" s="405">
        <v>0</v>
      </c>
      <c r="D197" s="481">
        <v>-0.27700000000000002</v>
      </c>
      <c r="E197" s="478">
        <v>-4.9000000000000002E-2</v>
      </c>
      <c r="F197" s="479">
        <v>-6.0000000000000001E-3</v>
      </c>
      <c r="G197" s="508">
        <v>0</v>
      </c>
      <c r="H197" s="476">
        <v>0</v>
      </c>
      <c r="I197" s="516">
        <v>0</v>
      </c>
      <c r="J197" s="482">
        <v>0</v>
      </c>
    </row>
    <row r="198" spans="1:10" ht="35.049999999999997" customHeight="1" x14ac:dyDescent="0.3">
      <c r="A198" s="398" t="s">
        <v>712</v>
      </c>
      <c r="B198" s="17" t="s">
        <v>480</v>
      </c>
      <c r="C198" s="405">
        <v>0</v>
      </c>
      <c r="D198" s="481">
        <v>-0.26100000000000001</v>
      </c>
      <c r="E198" s="478">
        <v>-4.7E-2</v>
      </c>
      <c r="F198" s="479">
        <v>-5.0000000000000001E-3</v>
      </c>
      <c r="G198" s="508">
        <v>0</v>
      </c>
      <c r="H198" s="476">
        <v>0</v>
      </c>
      <c r="I198" s="516">
        <v>0</v>
      </c>
      <c r="J198" s="482">
        <v>0</v>
      </c>
    </row>
    <row r="199" spans="1:10" ht="35.049999999999997" customHeight="1" x14ac:dyDescent="0.3">
      <c r="A199" s="398" t="s">
        <v>713</v>
      </c>
      <c r="B199" s="17" t="s">
        <v>480</v>
      </c>
      <c r="C199" s="405">
        <v>0</v>
      </c>
      <c r="D199" s="481">
        <v>-0.27700000000000002</v>
      </c>
      <c r="E199" s="478">
        <v>-4.9000000000000002E-2</v>
      </c>
      <c r="F199" s="479">
        <v>-6.0000000000000001E-3</v>
      </c>
      <c r="G199" s="508">
        <v>0</v>
      </c>
      <c r="H199" s="476">
        <v>0</v>
      </c>
      <c r="I199" s="516">
        <v>0</v>
      </c>
      <c r="J199" s="475">
        <v>8.9999999999999993E-3</v>
      </c>
    </row>
    <row r="200" spans="1:10" ht="35.049999999999997" customHeight="1" x14ac:dyDescent="0.3">
      <c r="A200" s="398" t="s">
        <v>714</v>
      </c>
      <c r="B200" s="17" t="s">
        <v>480</v>
      </c>
      <c r="C200" s="405">
        <v>0</v>
      </c>
      <c r="D200" s="481">
        <v>-0.26100000000000001</v>
      </c>
      <c r="E200" s="478">
        <v>-4.7E-2</v>
      </c>
      <c r="F200" s="479">
        <v>-5.0000000000000001E-3</v>
      </c>
      <c r="G200" s="508">
        <v>0</v>
      </c>
      <c r="H200" s="476">
        <v>0</v>
      </c>
      <c r="I200" s="516">
        <v>0</v>
      </c>
      <c r="J200" s="475">
        <v>8.0000000000000002E-3</v>
      </c>
    </row>
    <row r="201" spans="1:10" ht="35.049999999999997" customHeight="1" x14ac:dyDescent="0.3">
      <c r="A201" s="398" t="s">
        <v>715</v>
      </c>
      <c r="B201" s="17" t="s">
        <v>480</v>
      </c>
      <c r="C201" s="405">
        <v>0</v>
      </c>
      <c r="D201" s="481">
        <v>-0.186</v>
      </c>
      <c r="E201" s="478">
        <v>-3.4000000000000002E-2</v>
      </c>
      <c r="F201" s="479">
        <v>-3.0000000000000001E-3</v>
      </c>
      <c r="G201" s="480">
        <v>6.77</v>
      </c>
      <c r="H201" s="476">
        <v>0</v>
      </c>
      <c r="I201" s="516">
        <v>0</v>
      </c>
      <c r="J201" s="475">
        <v>8.0000000000000002E-3</v>
      </c>
    </row>
  </sheetData>
  <mergeCells count="10">
    <mergeCell ref="A2:J2"/>
    <mergeCell ref="A4:D4"/>
    <mergeCell ref="F4:J4"/>
    <mergeCell ref="F6:G6"/>
    <mergeCell ref="F7:G7"/>
    <mergeCell ref="B8:D8"/>
    <mergeCell ref="F8:G8"/>
    <mergeCell ref="F9:G9"/>
    <mergeCell ref="C9:D9"/>
    <mergeCell ref="H9:J9"/>
  </mergeCells>
  <hyperlinks>
    <hyperlink ref="A1" location="Overview!A1" display="Back to Overview" xr:uid="{7B21F9DE-BB39-429B-A494-B19F991B0B1A}"/>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AO201"/>
  <sheetViews>
    <sheetView zoomScale="50" zoomScaleNormal="50" workbookViewId="0">
      <selection activeCell="C9" sqref="C9"/>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20.69140625" style="41" customWidth="1"/>
    <col min="12" max="12" width="9.15234375" style="41"/>
    <col min="13" max="16384" width="9.15234375" style="1"/>
  </cols>
  <sheetData>
    <row r="1" spans="1:41" ht="40" customHeight="1" x14ac:dyDescent="0.3">
      <c r="A1" s="30" t="s">
        <v>19</v>
      </c>
      <c r="B1" s="1"/>
      <c r="F1" s="1"/>
      <c r="G1" s="1"/>
      <c r="H1" s="1"/>
      <c r="I1" s="3"/>
      <c r="J1" s="1"/>
    </row>
    <row r="2" spans="1:41" ht="40" customHeight="1" x14ac:dyDescent="0.3">
      <c r="A2" s="612" t="str">
        <f>Overview!B4&amp;" - Effective from "&amp;Overview!D4&amp;" - Final LDNO tariffs in NPG Northeast Area (GSP Group_F)"</f>
        <v>Indigo Power Limited - Effective from 1 April 2023 - Final LDNO tariffs in NPG Northeast Area (GSP Group_F)</v>
      </c>
      <c r="B2" s="612"/>
      <c r="C2" s="612"/>
      <c r="D2" s="612"/>
      <c r="E2" s="612"/>
      <c r="F2" s="612"/>
      <c r="G2" s="612"/>
      <c r="H2" s="612"/>
      <c r="I2" s="612"/>
      <c r="J2" s="612"/>
    </row>
    <row r="3" spans="1:41" ht="40" customHeight="1" x14ac:dyDescent="0.3">
      <c r="A3" s="48"/>
      <c r="B3" s="48"/>
      <c r="C3" s="48"/>
      <c r="D3" s="48"/>
      <c r="E3" s="48"/>
      <c r="F3" s="48"/>
      <c r="G3" s="48"/>
      <c r="H3" s="48"/>
      <c r="I3" s="48"/>
      <c r="J3" s="48"/>
    </row>
    <row r="4" spans="1:41" ht="40" customHeight="1" x14ac:dyDescent="0.3">
      <c r="A4" s="552" t="s">
        <v>308</v>
      </c>
      <c r="B4" s="552"/>
      <c r="C4" s="552"/>
      <c r="D4" s="552"/>
      <c r="E4" s="52"/>
      <c r="F4" s="552" t="s">
        <v>307</v>
      </c>
      <c r="G4" s="552"/>
      <c r="H4" s="552"/>
      <c r="I4" s="552"/>
      <c r="J4" s="552"/>
    </row>
    <row r="5" spans="1:41" ht="40" customHeight="1" x14ac:dyDescent="0.3">
      <c r="A5" s="468" t="s">
        <v>13</v>
      </c>
      <c r="B5" s="281" t="s">
        <v>299</v>
      </c>
      <c r="C5" s="286" t="s">
        <v>300</v>
      </c>
      <c r="D5" s="42" t="s">
        <v>301</v>
      </c>
      <c r="E5" s="45"/>
      <c r="F5" s="549"/>
      <c r="G5" s="550"/>
      <c r="H5" s="43" t="s">
        <v>305</v>
      </c>
      <c r="I5" s="44" t="s">
        <v>306</v>
      </c>
      <c r="J5" s="42" t="s">
        <v>301</v>
      </c>
    </row>
    <row r="6" spans="1:41" ht="40" customHeight="1" x14ac:dyDescent="0.3">
      <c r="A6" s="105" t="str">
        <f>'Annex 1 LV and HV charges_F'!A6</f>
        <v>Monday to Friday 
(Including Bank Holidays)
All Year</v>
      </c>
      <c r="B6" s="279" t="str">
        <f>'Annex 1 LV and HV charges_F'!B6</f>
        <v>16:00 to 19:30</v>
      </c>
      <c r="C6" s="279" t="str">
        <f>'Annex 1 LV and HV charges_F'!C6</f>
        <v>08:00 to 16:00
19:30 to 22:00</v>
      </c>
      <c r="D6" s="279" t="str">
        <f>'Annex 1 LV and HV charges_F'!E6</f>
        <v>00:00 to 08:00
22:00 to 24:00</v>
      </c>
      <c r="E6" s="45"/>
      <c r="F6" s="569" t="str">
        <f>'Annex 1 LV and HV charges_F'!G6</f>
        <v>Monday to Friday 
(Including Bank Holidays)
November to February Inclusive</v>
      </c>
      <c r="G6" s="569" t="str">
        <f>'Annex 1 LV and HV charges_F'!H6</f>
        <v/>
      </c>
      <c r="H6" s="13" t="str">
        <f>'Annex 1 LV and HV charges_F'!I6</f>
        <v>16:00 to 19:30</v>
      </c>
      <c r="I6" s="279" t="str">
        <f>'Annex 1 LV and HV charges_F'!J6</f>
        <v>08:00 to 16:00
19:30 to 22:00</v>
      </c>
      <c r="J6" s="279" t="str">
        <f>'Annex 1 LV and HV charges_F'!K6</f>
        <v>00:00 to 08:00
22:00 to 24:00</v>
      </c>
    </row>
    <row r="7" spans="1:41" ht="40" customHeight="1" x14ac:dyDescent="0.3">
      <c r="A7" s="105" t="str">
        <f>'Annex 1 LV and HV charges_F'!A7</f>
        <v>Saturday and Sunday
All Year</v>
      </c>
      <c r="B7" s="113" t="str">
        <f>'Annex 1 LV and HV charges_F'!B7</f>
        <v/>
      </c>
      <c r="C7" s="113" t="str">
        <f>'Annex 1 LV and HV charges_F'!C7</f>
        <v/>
      </c>
      <c r="D7" s="279" t="str">
        <f>'Annex 1 LV and HV charges_F'!E7</f>
        <v>00:00 to 24:00</v>
      </c>
      <c r="E7" s="45"/>
      <c r="F7" s="569" t="str">
        <f>'Annex 1 LV and HV charges_F'!G7</f>
        <v>Monday to Friday 
(Including Bank Holidays)
April to October Inclusive and March</v>
      </c>
      <c r="G7" s="569" t="str">
        <f>'Annex 1 LV and HV charges_F'!H7</f>
        <v/>
      </c>
      <c r="H7" s="113" t="str">
        <f>'Annex 1 LV and HV charges_F'!I7</f>
        <v/>
      </c>
      <c r="I7" s="279" t="str">
        <f>'Annex 1 LV and HV charges_F'!J7</f>
        <v>08:00 to 22:00</v>
      </c>
      <c r="J7" s="279" t="str">
        <f>'Annex 1 LV and HV charges_F'!K7</f>
        <v>00:00 to 08:00
22:00 to 24:00</v>
      </c>
    </row>
    <row r="8" spans="1:41" ht="40" customHeight="1" x14ac:dyDescent="0.3">
      <c r="A8" s="465" t="str">
        <f>'Annex 1 LV and HV charges_F'!A8</f>
        <v>Notes</v>
      </c>
      <c r="B8" s="537" t="str">
        <f>'Annex 1 LV and HV charges_F'!B8</f>
        <v>All the above times are in UK Clock time</v>
      </c>
      <c r="C8" s="546" t="str">
        <f>'Annex 1 LV and HV charges_F'!C8</f>
        <v/>
      </c>
      <c r="D8" s="538" t="str">
        <f>'Annex 1 LV and HV charges_F'!D8</f>
        <v/>
      </c>
      <c r="E8" s="45"/>
      <c r="F8" s="569" t="str">
        <f>'Annex 1 LV and HV charges_F'!G8</f>
        <v>Saturday and Sunday
All year</v>
      </c>
      <c r="G8" s="569" t="str">
        <f>'Annex 1 LV and HV charges_F'!H8</f>
        <v/>
      </c>
      <c r="H8" s="113" t="str">
        <f>'Annex 1 LV and HV charges_F'!I8</f>
        <v/>
      </c>
      <c r="I8" s="113" t="str">
        <f>'Annex 1 LV and HV charges_F'!J8</f>
        <v/>
      </c>
      <c r="J8" s="279" t="str">
        <f>'Annex 1 LV and HV charges_F'!K8</f>
        <v>00:00 to 24:00</v>
      </c>
    </row>
    <row r="9" spans="1:41" s="47" customFormat="1" ht="40" customHeight="1" x14ac:dyDescent="0.3">
      <c r="B9" s="45"/>
      <c r="C9" s="518" t="s">
        <v>480</v>
      </c>
      <c r="D9" s="45" t="s">
        <v>480</v>
      </c>
      <c r="E9" s="49"/>
      <c r="F9" s="569" t="str">
        <f>'Annex 1 LV and HV charges_F'!G9</f>
        <v>Notes</v>
      </c>
      <c r="G9" s="569" t="str">
        <f>'Annex 1 LV and HV charges_F'!H9</f>
        <v/>
      </c>
      <c r="H9" s="569" t="str">
        <f>'Annex 1 LV and HV charges_F'!I9</f>
        <v>All the above times are in UK Clock time</v>
      </c>
      <c r="I9" s="569" t="str">
        <f>'Annex 1 LV and HV charges_F'!J9</f>
        <v/>
      </c>
      <c r="J9" s="569" t="str">
        <f>'Annex 1 LV and HV charges_F'!K9</f>
        <v/>
      </c>
    </row>
    <row r="10" spans="1:41" s="47" customFormat="1" ht="40" customHeight="1" x14ac:dyDescent="0.3">
      <c r="A10" s="45"/>
      <c r="B10" s="45"/>
      <c r="C10" s="45"/>
      <c r="D10" s="45"/>
      <c r="E10" s="45"/>
      <c r="F10" s="50"/>
      <c r="G10" s="50"/>
      <c r="H10" s="51"/>
      <c r="I10" s="51"/>
      <c r="J10" s="51"/>
    </row>
    <row r="11" spans="1:41" ht="75" customHeight="1" x14ac:dyDescent="0.3">
      <c r="A11" s="440" t="s">
        <v>455</v>
      </c>
      <c r="B11" s="440" t="s">
        <v>31</v>
      </c>
      <c r="C11" s="439" t="s">
        <v>24</v>
      </c>
      <c r="D11" s="439" t="s">
        <v>579</v>
      </c>
      <c r="E11" s="439" t="s">
        <v>580</v>
      </c>
      <c r="F11" s="439" t="s">
        <v>581</v>
      </c>
      <c r="G11" s="439" t="s">
        <v>25</v>
      </c>
      <c r="H11" s="439" t="s">
        <v>26</v>
      </c>
      <c r="I11" s="439" t="s">
        <v>456</v>
      </c>
      <c r="J11" s="439" t="s">
        <v>270</v>
      </c>
      <c r="K11" s="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row>
    <row r="12" spans="1:41" ht="35.049999999999997" customHeight="1" x14ac:dyDescent="0.3">
      <c r="A12" s="452" t="s">
        <v>786</v>
      </c>
      <c r="B12" s="453" t="s">
        <v>480</v>
      </c>
      <c r="C12" s="454" t="s">
        <v>639</v>
      </c>
      <c r="D12" s="441">
        <v>4.2590000000000003</v>
      </c>
      <c r="E12" s="442">
        <v>0.628</v>
      </c>
      <c r="F12" s="443">
        <v>0.127</v>
      </c>
      <c r="G12" s="455">
        <v>10.55</v>
      </c>
      <c r="H12" s="445">
        <v>0</v>
      </c>
      <c r="I12" s="445">
        <v>0</v>
      </c>
      <c r="J12" s="446">
        <v>0</v>
      </c>
      <c r="K12" s="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row>
    <row r="13" spans="1:41" ht="35.049999999999997" customHeight="1" x14ac:dyDescent="0.3">
      <c r="A13" s="452" t="s">
        <v>787</v>
      </c>
      <c r="B13" s="453" t="s">
        <v>480</v>
      </c>
      <c r="C13" s="454">
        <v>2</v>
      </c>
      <c r="D13" s="441">
        <v>4.2590000000000003</v>
      </c>
      <c r="E13" s="442">
        <v>0.628</v>
      </c>
      <c r="F13" s="443">
        <v>0.127</v>
      </c>
      <c r="G13" s="445">
        <v>0</v>
      </c>
      <c r="H13" s="445">
        <v>0</v>
      </c>
      <c r="I13" s="445">
        <v>0</v>
      </c>
      <c r="J13" s="446">
        <v>0</v>
      </c>
      <c r="K13" s="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1:41" ht="35.049999999999997" customHeight="1" x14ac:dyDescent="0.3">
      <c r="A14" s="452" t="s">
        <v>788</v>
      </c>
      <c r="B14" s="453" t="s">
        <v>480</v>
      </c>
      <c r="C14" s="454" t="s">
        <v>640</v>
      </c>
      <c r="D14" s="441">
        <v>4.6180000000000003</v>
      </c>
      <c r="E14" s="442">
        <v>0.68100000000000005</v>
      </c>
      <c r="F14" s="443">
        <v>0.13800000000000001</v>
      </c>
      <c r="G14" s="455">
        <v>4.38</v>
      </c>
      <c r="H14" s="445">
        <v>0</v>
      </c>
      <c r="I14" s="445">
        <v>0</v>
      </c>
      <c r="J14" s="446">
        <v>0</v>
      </c>
      <c r="K14" s="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row>
    <row r="15" spans="1:41" ht="35.049999999999997" customHeight="1" x14ac:dyDescent="0.3">
      <c r="A15" s="452" t="s">
        <v>789</v>
      </c>
      <c r="B15" s="453" t="s">
        <v>480</v>
      </c>
      <c r="C15" s="454" t="s">
        <v>640</v>
      </c>
      <c r="D15" s="441">
        <v>4.6180000000000003</v>
      </c>
      <c r="E15" s="442">
        <v>0.68100000000000005</v>
      </c>
      <c r="F15" s="443">
        <v>0.13800000000000001</v>
      </c>
      <c r="G15" s="455">
        <v>7.4</v>
      </c>
      <c r="H15" s="445">
        <v>0</v>
      </c>
      <c r="I15" s="445">
        <v>0</v>
      </c>
      <c r="J15" s="446">
        <v>0</v>
      </c>
      <c r="K15" s="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row>
    <row r="16" spans="1:41" ht="35.049999999999997" customHeight="1" x14ac:dyDescent="0.3">
      <c r="A16" s="452" t="s">
        <v>790</v>
      </c>
      <c r="B16" s="453" t="s">
        <v>480</v>
      </c>
      <c r="C16" s="454" t="s">
        <v>640</v>
      </c>
      <c r="D16" s="441">
        <v>4.6180000000000003</v>
      </c>
      <c r="E16" s="442">
        <v>0.68100000000000005</v>
      </c>
      <c r="F16" s="443">
        <v>0.13800000000000001</v>
      </c>
      <c r="G16" s="455">
        <v>20.3</v>
      </c>
      <c r="H16" s="445">
        <v>0</v>
      </c>
      <c r="I16" s="445">
        <v>0</v>
      </c>
      <c r="J16" s="446">
        <v>0</v>
      </c>
      <c r="K16" s="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row>
    <row r="17" spans="1:41" ht="35.049999999999997" customHeight="1" x14ac:dyDescent="0.3">
      <c r="A17" s="452" t="s">
        <v>791</v>
      </c>
      <c r="B17" s="453" t="s">
        <v>480</v>
      </c>
      <c r="C17" s="454" t="s">
        <v>640</v>
      </c>
      <c r="D17" s="441">
        <v>4.6180000000000003</v>
      </c>
      <c r="E17" s="442">
        <v>0.68100000000000005</v>
      </c>
      <c r="F17" s="443">
        <v>0.13800000000000001</v>
      </c>
      <c r="G17" s="455">
        <v>43.97</v>
      </c>
      <c r="H17" s="445">
        <v>0</v>
      </c>
      <c r="I17" s="445">
        <v>0</v>
      </c>
      <c r="J17" s="446">
        <v>0</v>
      </c>
      <c r="K17" s="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row>
    <row r="18" spans="1:41" ht="35.049999999999997" customHeight="1" x14ac:dyDescent="0.3">
      <c r="A18" s="452" t="s">
        <v>792</v>
      </c>
      <c r="B18" s="453" t="s">
        <v>480</v>
      </c>
      <c r="C18" s="454" t="s">
        <v>640</v>
      </c>
      <c r="D18" s="441">
        <v>4.6180000000000003</v>
      </c>
      <c r="E18" s="442">
        <v>0.68100000000000005</v>
      </c>
      <c r="F18" s="443">
        <v>0.13800000000000001</v>
      </c>
      <c r="G18" s="455">
        <v>124.16</v>
      </c>
      <c r="H18" s="445">
        <v>0</v>
      </c>
      <c r="I18" s="445">
        <v>0</v>
      </c>
      <c r="J18" s="446">
        <v>0</v>
      </c>
      <c r="K18" s="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row>
    <row r="19" spans="1:41" ht="35.049999999999997" customHeight="1" x14ac:dyDescent="0.3">
      <c r="A19" s="452" t="s">
        <v>582</v>
      </c>
      <c r="B19" s="453" t="s">
        <v>480</v>
      </c>
      <c r="C19" s="454">
        <v>4</v>
      </c>
      <c r="D19" s="441">
        <v>4.6180000000000003</v>
      </c>
      <c r="E19" s="442">
        <v>0.68100000000000005</v>
      </c>
      <c r="F19" s="443">
        <v>0.13800000000000001</v>
      </c>
      <c r="G19" s="445">
        <v>0</v>
      </c>
      <c r="H19" s="445">
        <v>0</v>
      </c>
      <c r="I19" s="445">
        <v>0</v>
      </c>
      <c r="J19" s="446">
        <v>0</v>
      </c>
      <c r="K19" s="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row>
    <row r="20" spans="1:41" ht="35.049999999999997" customHeight="1" x14ac:dyDescent="0.3">
      <c r="A20" s="452" t="s">
        <v>793</v>
      </c>
      <c r="B20" s="453" t="s">
        <v>480</v>
      </c>
      <c r="C20" s="454">
        <v>0</v>
      </c>
      <c r="D20" s="441">
        <v>3.5110000000000001</v>
      </c>
      <c r="E20" s="442">
        <v>0.502</v>
      </c>
      <c r="F20" s="443">
        <v>0.1</v>
      </c>
      <c r="G20" s="455">
        <v>8.56</v>
      </c>
      <c r="H20" s="455">
        <v>1.23</v>
      </c>
      <c r="I20" s="456">
        <v>2.62</v>
      </c>
      <c r="J20" s="448">
        <v>8.6999999999999994E-2</v>
      </c>
      <c r="K20" s="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row>
    <row r="21" spans="1:41" ht="35.049999999999997" customHeight="1" x14ac:dyDescent="0.3">
      <c r="A21" s="452" t="s">
        <v>794</v>
      </c>
      <c r="B21" s="453" t="s">
        <v>480</v>
      </c>
      <c r="C21" s="454">
        <v>0</v>
      </c>
      <c r="D21" s="441">
        <v>3.5110000000000001</v>
      </c>
      <c r="E21" s="442">
        <v>0.502</v>
      </c>
      <c r="F21" s="443">
        <v>0.1</v>
      </c>
      <c r="G21" s="455">
        <v>183.58</v>
      </c>
      <c r="H21" s="455">
        <v>1.23</v>
      </c>
      <c r="I21" s="456">
        <v>2.62</v>
      </c>
      <c r="J21" s="448">
        <v>8.6999999999999994E-2</v>
      </c>
      <c r="K21" s="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row>
    <row r="22" spans="1:41" ht="35.049999999999997" customHeight="1" x14ac:dyDescent="0.3">
      <c r="A22" s="452" t="s">
        <v>795</v>
      </c>
      <c r="B22" s="453" t="s">
        <v>480</v>
      </c>
      <c r="C22" s="454">
        <v>0</v>
      </c>
      <c r="D22" s="441">
        <v>3.5110000000000001</v>
      </c>
      <c r="E22" s="442">
        <v>0.502</v>
      </c>
      <c r="F22" s="443">
        <v>0.1</v>
      </c>
      <c r="G22" s="455">
        <v>405.97</v>
      </c>
      <c r="H22" s="455">
        <v>1.23</v>
      </c>
      <c r="I22" s="456">
        <v>2.62</v>
      </c>
      <c r="J22" s="448">
        <v>8.6999999999999994E-2</v>
      </c>
      <c r="K22" s="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row>
    <row r="23" spans="1:41" ht="35.049999999999997" customHeight="1" x14ac:dyDescent="0.3">
      <c r="A23" s="452" t="s">
        <v>796</v>
      </c>
      <c r="B23" s="453" t="s">
        <v>480</v>
      </c>
      <c r="C23" s="454">
        <v>0</v>
      </c>
      <c r="D23" s="441">
        <v>3.5110000000000001</v>
      </c>
      <c r="E23" s="442">
        <v>0.502</v>
      </c>
      <c r="F23" s="443">
        <v>0.1</v>
      </c>
      <c r="G23" s="455">
        <v>618.65</v>
      </c>
      <c r="H23" s="455">
        <v>1.23</v>
      </c>
      <c r="I23" s="456">
        <v>2.62</v>
      </c>
      <c r="J23" s="448">
        <v>8.6999999999999994E-2</v>
      </c>
      <c r="K23" s="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row>
    <row r="24" spans="1:41" ht="35.049999999999997" customHeight="1" x14ac:dyDescent="0.3">
      <c r="A24" s="452" t="s">
        <v>797</v>
      </c>
      <c r="B24" s="453" t="s">
        <v>480</v>
      </c>
      <c r="C24" s="454">
        <v>0</v>
      </c>
      <c r="D24" s="441">
        <v>3.5110000000000001</v>
      </c>
      <c r="E24" s="442">
        <v>0.502</v>
      </c>
      <c r="F24" s="443">
        <v>0.1</v>
      </c>
      <c r="G24" s="455">
        <v>1582.33</v>
      </c>
      <c r="H24" s="455">
        <v>1.23</v>
      </c>
      <c r="I24" s="456">
        <v>2.62</v>
      </c>
      <c r="J24" s="448">
        <v>8.6999999999999994E-2</v>
      </c>
      <c r="K24" s="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row>
    <row r="25" spans="1:41" ht="35.049999999999997" customHeight="1" x14ac:dyDescent="0.3">
      <c r="A25" s="452" t="s">
        <v>583</v>
      </c>
      <c r="B25" s="453" t="s">
        <v>480</v>
      </c>
      <c r="C25" s="454" t="s">
        <v>641</v>
      </c>
      <c r="D25" s="449">
        <v>11.180999999999999</v>
      </c>
      <c r="E25" s="450">
        <v>1.288</v>
      </c>
      <c r="F25" s="451">
        <v>0.89300000000000002</v>
      </c>
      <c r="G25" s="445">
        <v>0</v>
      </c>
      <c r="H25" s="445">
        <v>0</v>
      </c>
      <c r="I25" s="445">
        <v>0</v>
      </c>
      <c r="J25" s="446">
        <v>0</v>
      </c>
      <c r="K25" s="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row>
    <row r="26" spans="1:41" ht="35.049999999999997" customHeight="1" x14ac:dyDescent="0.3">
      <c r="A26" s="452" t="s">
        <v>686</v>
      </c>
      <c r="B26" s="453" t="s">
        <v>480</v>
      </c>
      <c r="C26" s="454" t="s">
        <v>719</v>
      </c>
      <c r="D26" s="441">
        <v>-5.234</v>
      </c>
      <c r="E26" s="442">
        <v>-0.77200000000000002</v>
      </c>
      <c r="F26" s="443">
        <v>-0.156</v>
      </c>
      <c r="G26" s="445">
        <v>0</v>
      </c>
      <c r="H26" s="445">
        <v>0</v>
      </c>
      <c r="I26" s="445">
        <v>0</v>
      </c>
      <c r="J26" s="446">
        <v>0</v>
      </c>
      <c r="K26" s="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row>
    <row r="27" spans="1:41" ht="35.049999999999997" customHeight="1" x14ac:dyDescent="0.3">
      <c r="A27" s="452" t="s">
        <v>687</v>
      </c>
      <c r="B27" s="453" t="s">
        <v>480</v>
      </c>
      <c r="C27" s="454">
        <v>0</v>
      </c>
      <c r="D27" s="441">
        <v>-5.234</v>
      </c>
      <c r="E27" s="442">
        <v>-0.77200000000000002</v>
      </c>
      <c r="F27" s="443">
        <v>-0.156</v>
      </c>
      <c r="G27" s="445">
        <v>0</v>
      </c>
      <c r="H27" s="445">
        <v>0</v>
      </c>
      <c r="I27" s="445">
        <v>0</v>
      </c>
      <c r="J27" s="448">
        <v>0.11799999999999999</v>
      </c>
      <c r="K27" s="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row>
    <row r="28" spans="1:41" ht="35.049999999999997" customHeight="1" x14ac:dyDescent="0.3">
      <c r="A28" s="457" t="s">
        <v>798</v>
      </c>
      <c r="B28" s="453" t="s">
        <v>480</v>
      </c>
      <c r="C28" s="454" t="s">
        <v>639</v>
      </c>
      <c r="D28" s="441">
        <v>2.8639999999999999</v>
      </c>
      <c r="E28" s="442">
        <v>0.42199999999999999</v>
      </c>
      <c r="F28" s="443">
        <v>8.5000000000000006E-2</v>
      </c>
      <c r="G28" s="455">
        <v>7.17</v>
      </c>
      <c r="H28" s="445">
        <v>0</v>
      </c>
      <c r="I28" s="445">
        <v>0</v>
      </c>
      <c r="J28" s="446">
        <v>0</v>
      </c>
      <c r="K28" s="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row>
    <row r="29" spans="1:41" ht="35.049999999999997" customHeight="1" x14ac:dyDescent="0.3">
      <c r="A29" s="457" t="s">
        <v>799</v>
      </c>
      <c r="B29" s="453" t="s">
        <v>480</v>
      </c>
      <c r="C29" s="454">
        <v>2</v>
      </c>
      <c r="D29" s="441">
        <v>2.8639999999999999</v>
      </c>
      <c r="E29" s="442">
        <v>0.42199999999999999</v>
      </c>
      <c r="F29" s="443">
        <v>8.5000000000000006E-2</v>
      </c>
      <c r="G29" s="445">
        <v>0</v>
      </c>
      <c r="H29" s="445">
        <v>0</v>
      </c>
      <c r="I29" s="445">
        <v>0</v>
      </c>
      <c r="J29" s="446">
        <v>0</v>
      </c>
      <c r="K29" s="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ht="35.049999999999997" customHeight="1" x14ac:dyDescent="0.3">
      <c r="A30" s="457" t="s">
        <v>800</v>
      </c>
      <c r="B30" s="453" t="s">
        <v>480</v>
      </c>
      <c r="C30" s="454" t="s">
        <v>640</v>
      </c>
      <c r="D30" s="441">
        <v>3.1059999999999999</v>
      </c>
      <c r="E30" s="442">
        <v>0.45800000000000002</v>
      </c>
      <c r="F30" s="443">
        <v>9.2999999999999999E-2</v>
      </c>
      <c r="G30" s="455">
        <v>2.99</v>
      </c>
      <c r="H30" s="445">
        <v>0</v>
      </c>
      <c r="I30" s="445">
        <v>0</v>
      </c>
      <c r="J30" s="446">
        <v>0</v>
      </c>
      <c r="K30" s="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row>
    <row r="31" spans="1:41" ht="35.049999999999997" customHeight="1" x14ac:dyDescent="0.3">
      <c r="A31" s="457" t="s">
        <v>801</v>
      </c>
      <c r="B31" s="453" t="s">
        <v>480</v>
      </c>
      <c r="C31" s="454" t="s">
        <v>640</v>
      </c>
      <c r="D31" s="441">
        <v>3.1059999999999999</v>
      </c>
      <c r="E31" s="442">
        <v>0.45800000000000002</v>
      </c>
      <c r="F31" s="443">
        <v>9.2999999999999999E-2</v>
      </c>
      <c r="G31" s="455">
        <v>5.0199999999999996</v>
      </c>
      <c r="H31" s="445">
        <v>0</v>
      </c>
      <c r="I31" s="445">
        <v>0</v>
      </c>
      <c r="J31" s="446">
        <v>0</v>
      </c>
      <c r="K31" s="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row>
    <row r="32" spans="1:41" ht="35.049999999999997" customHeight="1" x14ac:dyDescent="0.3">
      <c r="A32" s="457" t="s">
        <v>802</v>
      </c>
      <c r="B32" s="453" t="s">
        <v>480</v>
      </c>
      <c r="C32" s="454" t="s">
        <v>640</v>
      </c>
      <c r="D32" s="441">
        <v>3.1059999999999999</v>
      </c>
      <c r="E32" s="442">
        <v>0.45800000000000002</v>
      </c>
      <c r="F32" s="443">
        <v>9.2999999999999999E-2</v>
      </c>
      <c r="G32" s="455">
        <v>13.7</v>
      </c>
      <c r="H32" s="445">
        <v>0</v>
      </c>
      <c r="I32" s="445">
        <v>0</v>
      </c>
      <c r="J32" s="446">
        <v>0</v>
      </c>
      <c r="K32" s="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row>
    <row r="33" spans="1:41" ht="35.049999999999997" customHeight="1" x14ac:dyDescent="0.3">
      <c r="A33" s="457" t="s">
        <v>803</v>
      </c>
      <c r="B33" s="453" t="s">
        <v>480</v>
      </c>
      <c r="C33" s="454" t="s">
        <v>640</v>
      </c>
      <c r="D33" s="441">
        <v>3.1059999999999999</v>
      </c>
      <c r="E33" s="442">
        <v>0.45800000000000002</v>
      </c>
      <c r="F33" s="443">
        <v>9.2999999999999999E-2</v>
      </c>
      <c r="G33" s="455">
        <v>29.62</v>
      </c>
      <c r="H33" s="445">
        <v>0</v>
      </c>
      <c r="I33" s="445">
        <v>0</v>
      </c>
      <c r="J33" s="446">
        <v>0</v>
      </c>
      <c r="K33" s="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row>
    <row r="34" spans="1:41" ht="35.049999999999997" customHeight="1" x14ac:dyDescent="0.3">
      <c r="A34" s="457" t="s">
        <v>804</v>
      </c>
      <c r="B34" s="453" t="s">
        <v>480</v>
      </c>
      <c r="C34" s="454" t="s">
        <v>640</v>
      </c>
      <c r="D34" s="441">
        <v>3.1059999999999999</v>
      </c>
      <c r="E34" s="442">
        <v>0.45800000000000002</v>
      </c>
      <c r="F34" s="443">
        <v>9.2999999999999999E-2</v>
      </c>
      <c r="G34" s="455">
        <v>83.54</v>
      </c>
      <c r="H34" s="445">
        <v>0</v>
      </c>
      <c r="I34" s="445">
        <v>0</v>
      </c>
      <c r="J34" s="446">
        <v>0</v>
      </c>
      <c r="K34" s="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row>
    <row r="35" spans="1:41" ht="35.049999999999997" customHeight="1" x14ac:dyDescent="0.3">
      <c r="A35" s="457" t="s">
        <v>584</v>
      </c>
      <c r="B35" s="453" t="s">
        <v>480</v>
      </c>
      <c r="C35" s="454">
        <v>4</v>
      </c>
      <c r="D35" s="441">
        <v>3.1059999999999999</v>
      </c>
      <c r="E35" s="442">
        <v>0.45800000000000002</v>
      </c>
      <c r="F35" s="443">
        <v>9.2999999999999999E-2</v>
      </c>
      <c r="G35" s="445">
        <v>0</v>
      </c>
      <c r="H35" s="445">
        <v>0</v>
      </c>
      <c r="I35" s="445">
        <v>0</v>
      </c>
      <c r="J35" s="446">
        <v>0</v>
      </c>
      <c r="K35" s="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row>
    <row r="36" spans="1:41" ht="35.049999999999997" customHeight="1" x14ac:dyDescent="0.3">
      <c r="A36" s="457" t="s">
        <v>805</v>
      </c>
      <c r="B36" s="453" t="s">
        <v>480</v>
      </c>
      <c r="C36" s="454">
        <v>0</v>
      </c>
      <c r="D36" s="441">
        <v>2.3610000000000002</v>
      </c>
      <c r="E36" s="442">
        <v>0.33800000000000002</v>
      </c>
      <c r="F36" s="443">
        <v>6.7000000000000004E-2</v>
      </c>
      <c r="G36" s="455">
        <v>5.8</v>
      </c>
      <c r="H36" s="455">
        <v>0.83</v>
      </c>
      <c r="I36" s="456">
        <v>1.76</v>
      </c>
      <c r="J36" s="448">
        <v>5.8999999999999997E-2</v>
      </c>
      <c r="K36" s="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row>
    <row r="37" spans="1:41" ht="35.049999999999997" customHeight="1" x14ac:dyDescent="0.3">
      <c r="A37" s="457" t="s">
        <v>806</v>
      </c>
      <c r="B37" s="453" t="s">
        <v>480</v>
      </c>
      <c r="C37" s="454">
        <v>0</v>
      </c>
      <c r="D37" s="441">
        <v>2.3610000000000002</v>
      </c>
      <c r="E37" s="442">
        <v>0.33800000000000002</v>
      </c>
      <c r="F37" s="443">
        <v>6.7000000000000004E-2</v>
      </c>
      <c r="G37" s="455">
        <v>123.5</v>
      </c>
      <c r="H37" s="455">
        <v>0.83</v>
      </c>
      <c r="I37" s="456">
        <v>1.76</v>
      </c>
      <c r="J37" s="448">
        <v>5.8999999999999997E-2</v>
      </c>
      <c r="K37" s="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row>
    <row r="38" spans="1:41" ht="35.049999999999997" customHeight="1" x14ac:dyDescent="0.3">
      <c r="A38" s="457" t="s">
        <v>807</v>
      </c>
      <c r="B38" s="453" t="s">
        <v>480</v>
      </c>
      <c r="C38" s="454">
        <v>0</v>
      </c>
      <c r="D38" s="441">
        <v>2.3610000000000002</v>
      </c>
      <c r="E38" s="442">
        <v>0.33800000000000002</v>
      </c>
      <c r="F38" s="443">
        <v>6.7000000000000004E-2</v>
      </c>
      <c r="G38" s="455">
        <v>273.06</v>
      </c>
      <c r="H38" s="455">
        <v>0.83</v>
      </c>
      <c r="I38" s="456">
        <v>1.76</v>
      </c>
      <c r="J38" s="448">
        <v>5.8999999999999997E-2</v>
      </c>
      <c r="K38" s="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row>
    <row r="39" spans="1:41" ht="35.049999999999997" customHeight="1" x14ac:dyDescent="0.3">
      <c r="A39" s="457" t="s">
        <v>808</v>
      </c>
      <c r="B39" s="453" t="s">
        <v>480</v>
      </c>
      <c r="C39" s="454">
        <v>0</v>
      </c>
      <c r="D39" s="441">
        <v>2.3610000000000002</v>
      </c>
      <c r="E39" s="442">
        <v>0.33800000000000002</v>
      </c>
      <c r="F39" s="443">
        <v>6.7000000000000004E-2</v>
      </c>
      <c r="G39" s="455">
        <v>416.09</v>
      </c>
      <c r="H39" s="455">
        <v>0.83</v>
      </c>
      <c r="I39" s="456">
        <v>1.76</v>
      </c>
      <c r="J39" s="448">
        <v>5.8999999999999997E-2</v>
      </c>
      <c r="K39" s="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row>
    <row r="40" spans="1:41" ht="35.049999999999997" customHeight="1" x14ac:dyDescent="0.3">
      <c r="A40" s="457" t="s">
        <v>809</v>
      </c>
      <c r="B40" s="453" t="s">
        <v>480</v>
      </c>
      <c r="C40" s="454">
        <v>0</v>
      </c>
      <c r="D40" s="441">
        <v>2.3610000000000002</v>
      </c>
      <c r="E40" s="442">
        <v>0.33800000000000002</v>
      </c>
      <c r="F40" s="443">
        <v>6.7000000000000004E-2</v>
      </c>
      <c r="G40" s="455">
        <v>1064.17</v>
      </c>
      <c r="H40" s="455">
        <v>0.83</v>
      </c>
      <c r="I40" s="456">
        <v>1.76</v>
      </c>
      <c r="J40" s="448">
        <v>5.8999999999999997E-2</v>
      </c>
      <c r="K40" s="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row>
    <row r="41" spans="1:41" ht="35.049999999999997" customHeight="1" x14ac:dyDescent="0.3">
      <c r="A41" s="457" t="s">
        <v>810</v>
      </c>
      <c r="B41" s="453" t="s">
        <v>480</v>
      </c>
      <c r="C41" s="454">
        <v>0</v>
      </c>
      <c r="D41" s="441">
        <v>2.4929999999999999</v>
      </c>
      <c r="E41" s="442">
        <v>0.32500000000000001</v>
      </c>
      <c r="F41" s="443">
        <v>6.0999999999999999E-2</v>
      </c>
      <c r="G41" s="455">
        <v>9.7100000000000009</v>
      </c>
      <c r="H41" s="455">
        <v>1.9</v>
      </c>
      <c r="I41" s="456">
        <v>2.98</v>
      </c>
      <c r="J41" s="448">
        <v>5.6000000000000001E-2</v>
      </c>
      <c r="K41" s="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row>
    <row r="42" spans="1:41" ht="35.049999999999997" customHeight="1" x14ac:dyDescent="0.3">
      <c r="A42" s="457" t="s">
        <v>811</v>
      </c>
      <c r="B42" s="453" t="s">
        <v>480</v>
      </c>
      <c r="C42" s="454">
        <v>0</v>
      </c>
      <c r="D42" s="441">
        <v>2.4929999999999999</v>
      </c>
      <c r="E42" s="442">
        <v>0.32500000000000001</v>
      </c>
      <c r="F42" s="443">
        <v>6.0999999999999999E-2</v>
      </c>
      <c r="G42" s="455">
        <v>208.65</v>
      </c>
      <c r="H42" s="455">
        <v>1.9</v>
      </c>
      <c r="I42" s="456">
        <v>2.98</v>
      </c>
      <c r="J42" s="448">
        <v>5.6000000000000001E-2</v>
      </c>
      <c r="K42" s="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row>
    <row r="43" spans="1:41" ht="35.049999999999997" customHeight="1" x14ac:dyDescent="0.3">
      <c r="A43" s="457" t="s">
        <v>812</v>
      </c>
      <c r="B43" s="453" t="s">
        <v>480</v>
      </c>
      <c r="C43" s="454">
        <v>0</v>
      </c>
      <c r="D43" s="441">
        <v>2.4929999999999999</v>
      </c>
      <c r="E43" s="442">
        <v>0.32500000000000001</v>
      </c>
      <c r="F43" s="443">
        <v>6.0999999999999999E-2</v>
      </c>
      <c r="G43" s="455">
        <v>461.44</v>
      </c>
      <c r="H43" s="455">
        <v>1.9</v>
      </c>
      <c r="I43" s="456">
        <v>2.98</v>
      </c>
      <c r="J43" s="448">
        <v>5.6000000000000001E-2</v>
      </c>
      <c r="K43" s="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row>
    <row r="44" spans="1:41" ht="35.049999999999997" customHeight="1" x14ac:dyDescent="0.3">
      <c r="A44" s="457" t="s">
        <v>813</v>
      </c>
      <c r="B44" s="453" t="s">
        <v>480</v>
      </c>
      <c r="C44" s="454">
        <v>0</v>
      </c>
      <c r="D44" s="441">
        <v>2.4929999999999999</v>
      </c>
      <c r="E44" s="442">
        <v>0.32500000000000001</v>
      </c>
      <c r="F44" s="443">
        <v>6.0999999999999999E-2</v>
      </c>
      <c r="G44" s="455">
        <v>703.19</v>
      </c>
      <c r="H44" s="455">
        <v>1.9</v>
      </c>
      <c r="I44" s="456">
        <v>2.98</v>
      </c>
      <c r="J44" s="448">
        <v>5.6000000000000001E-2</v>
      </c>
      <c r="K44" s="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row>
    <row r="45" spans="1:41" ht="35.049999999999997" customHeight="1" x14ac:dyDescent="0.3">
      <c r="A45" s="457" t="s">
        <v>814</v>
      </c>
      <c r="B45" s="453" t="s">
        <v>480</v>
      </c>
      <c r="C45" s="454">
        <v>0</v>
      </c>
      <c r="D45" s="441">
        <v>2.4929999999999999</v>
      </c>
      <c r="E45" s="442">
        <v>0.32500000000000001</v>
      </c>
      <c r="F45" s="443">
        <v>6.0999999999999999E-2</v>
      </c>
      <c r="G45" s="455">
        <v>1798.58</v>
      </c>
      <c r="H45" s="455">
        <v>1.9</v>
      </c>
      <c r="I45" s="456">
        <v>2.98</v>
      </c>
      <c r="J45" s="448">
        <v>5.6000000000000001E-2</v>
      </c>
      <c r="K45" s="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row>
    <row r="46" spans="1:41" ht="35.049999999999997" customHeight="1" x14ac:dyDescent="0.3">
      <c r="A46" s="457" t="s">
        <v>815</v>
      </c>
      <c r="B46" s="453" t="s">
        <v>480</v>
      </c>
      <c r="C46" s="454">
        <v>0</v>
      </c>
      <c r="D46" s="441">
        <v>2.3719999999999999</v>
      </c>
      <c r="E46" s="442">
        <v>0.27800000000000002</v>
      </c>
      <c r="F46" s="443">
        <v>4.8000000000000001E-2</v>
      </c>
      <c r="G46" s="455">
        <v>141.47999999999999</v>
      </c>
      <c r="H46" s="455">
        <v>2.37</v>
      </c>
      <c r="I46" s="456">
        <v>4.0199999999999996</v>
      </c>
      <c r="J46" s="448">
        <v>5.0999999999999997E-2</v>
      </c>
      <c r="K46" s="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row>
    <row r="47" spans="1:41" ht="35.049999999999997" customHeight="1" x14ac:dyDescent="0.3">
      <c r="A47" s="457" t="s">
        <v>816</v>
      </c>
      <c r="B47" s="453" t="s">
        <v>480</v>
      </c>
      <c r="C47" s="454">
        <v>0</v>
      </c>
      <c r="D47" s="441">
        <v>2.3719999999999999</v>
      </c>
      <c r="E47" s="442">
        <v>0.27800000000000002</v>
      </c>
      <c r="F47" s="443">
        <v>4.8000000000000001E-2</v>
      </c>
      <c r="G47" s="455">
        <v>1908.29</v>
      </c>
      <c r="H47" s="455">
        <v>2.37</v>
      </c>
      <c r="I47" s="456">
        <v>4.0199999999999996</v>
      </c>
      <c r="J47" s="448">
        <v>5.0999999999999997E-2</v>
      </c>
      <c r="K47" s="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row>
    <row r="48" spans="1:41" ht="35.049999999999997" customHeight="1" x14ac:dyDescent="0.3">
      <c r="A48" s="457" t="s">
        <v>817</v>
      </c>
      <c r="B48" s="453" t="s">
        <v>480</v>
      </c>
      <c r="C48" s="454">
        <v>0</v>
      </c>
      <c r="D48" s="441">
        <v>2.3719999999999999</v>
      </c>
      <c r="E48" s="442">
        <v>0.27800000000000002</v>
      </c>
      <c r="F48" s="443">
        <v>4.8000000000000001E-2</v>
      </c>
      <c r="G48" s="455">
        <v>4717.34</v>
      </c>
      <c r="H48" s="455">
        <v>2.37</v>
      </c>
      <c r="I48" s="456">
        <v>4.0199999999999996</v>
      </c>
      <c r="J48" s="448">
        <v>5.0999999999999997E-2</v>
      </c>
      <c r="K48" s="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row>
    <row r="49" spans="1:41" ht="35.049999999999997" customHeight="1" x14ac:dyDescent="0.3">
      <c r="A49" s="457" t="s">
        <v>818</v>
      </c>
      <c r="B49" s="453" t="s">
        <v>480</v>
      </c>
      <c r="C49" s="454">
        <v>0</v>
      </c>
      <c r="D49" s="441">
        <v>2.3719999999999999</v>
      </c>
      <c r="E49" s="442">
        <v>0.27800000000000002</v>
      </c>
      <c r="F49" s="443">
        <v>4.8000000000000001E-2</v>
      </c>
      <c r="G49" s="455">
        <v>8503.83</v>
      </c>
      <c r="H49" s="455">
        <v>2.37</v>
      </c>
      <c r="I49" s="456">
        <v>4.0199999999999996</v>
      </c>
      <c r="J49" s="448">
        <v>5.0999999999999997E-2</v>
      </c>
      <c r="K49" s="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row>
    <row r="50" spans="1:41" ht="35.049999999999997" customHeight="1" x14ac:dyDescent="0.3">
      <c r="A50" s="457" t="s">
        <v>819</v>
      </c>
      <c r="B50" s="453" t="s">
        <v>480</v>
      </c>
      <c r="C50" s="454">
        <v>0</v>
      </c>
      <c r="D50" s="441">
        <v>2.3719999999999999</v>
      </c>
      <c r="E50" s="442">
        <v>0.27800000000000002</v>
      </c>
      <c r="F50" s="443">
        <v>4.8000000000000001E-2</v>
      </c>
      <c r="G50" s="455">
        <v>22323.27</v>
      </c>
      <c r="H50" s="455">
        <v>2.37</v>
      </c>
      <c r="I50" s="456">
        <v>4.0199999999999996</v>
      </c>
      <c r="J50" s="448">
        <v>5.0999999999999997E-2</v>
      </c>
      <c r="K50" s="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row>
    <row r="51" spans="1:41" ht="35.049999999999997" customHeight="1" x14ac:dyDescent="0.3">
      <c r="A51" s="457" t="s">
        <v>585</v>
      </c>
      <c r="B51" s="453" t="s">
        <v>480</v>
      </c>
      <c r="C51" s="454" t="s">
        <v>641</v>
      </c>
      <c r="D51" s="449">
        <v>7.5190000000000001</v>
      </c>
      <c r="E51" s="450">
        <v>0.86599999999999999</v>
      </c>
      <c r="F51" s="451">
        <v>0.60099999999999998</v>
      </c>
      <c r="G51" s="445">
        <v>0</v>
      </c>
      <c r="H51" s="445">
        <v>0</v>
      </c>
      <c r="I51" s="445">
        <v>0</v>
      </c>
      <c r="J51" s="446">
        <v>0</v>
      </c>
      <c r="K51" s="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row>
    <row r="52" spans="1:41" ht="35.049999999999997" customHeight="1" x14ac:dyDescent="0.3">
      <c r="A52" s="457" t="s">
        <v>688</v>
      </c>
      <c r="B52" s="453" t="s">
        <v>480</v>
      </c>
      <c r="C52" s="454" t="s">
        <v>719</v>
      </c>
      <c r="D52" s="441">
        <v>-5.234</v>
      </c>
      <c r="E52" s="442">
        <v>-0.77200000000000002</v>
      </c>
      <c r="F52" s="443">
        <v>-0.156</v>
      </c>
      <c r="G52" s="445">
        <v>0</v>
      </c>
      <c r="H52" s="445">
        <v>0</v>
      </c>
      <c r="I52" s="445">
        <v>0</v>
      </c>
      <c r="J52" s="446">
        <v>0</v>
      </c>
      <c r="K52" s="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row>
    <row r="53" spans="1:41" ht="35.049999999999997" customHeight="1" x14ac:dyDescent="0.3">
      <c r="A53" s="457" t="s">
        <v>689</v>
      </c>
      <c r="B53" s="453" t="s">
        <v>480</v>
      </c>
      <c r="C53" s="454">
        <v>8</v>
      </c>
      <c r="D53" s="441">
        <v>-4.7229999999999999</v>
      </c>
      <c r="E53" s="442">
        <v>-0.68600000000000005</v>
      </c>
      <c r="F53" s="443">
        <v>-0.13800000000000001</v>
      </c>
      <c r="G53" s="445">
        <v>0</v>
      </c>
      <c r="H53" s="445">
        <v>0</v>
      </c>
      <c r="I53" s="445">
        <v>0</v>
      </c>
      <c r="J53" s="446">
        <v>0</v>
      </c>
      <c r="K53" s="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row>
    <row r="54" spans="1:41" ht="35.049999999999997" customHeight="1" x14ac:dyDescent="0.3">
      <c r="A54" s="457" t="s">
        <v>599</v>
      </c>
      <c r="B54" s="453" t="s">
        <v>480</v>
      </c>
      <c r="C54" s="454">
        <v>0</v>
      </c>
      <c r="D54" s="441">
        <v>-5.234</v>
      </c>
      <c r="E54" s="442">
        <v>-0.77200000000000002</v>
      </c>
      <c r="F54" s="443">
        <v>-0.156</v>
      </c>
      <c r="G54" s="445">
        <v>0</v>
      </c>
      <c r="H54" s="445">
        <v>0</v>
      </c>
      <c r="I54" s="445">
        <v>0</v>
      </c>
      <c r="J54" s="448">
        <v>0.11799999999999999</v>
      </c>
      <c r="K54" s="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row>
    <row r="55" spans="1:41" ht="35.049999999999997" customHeight="1" x14ac:dyDescent="0.3">
      <c r="A55" s="457" t="s">
        <v>690</v>
      </c>
      <c r="B55" s="453" t="s">
        <v>480</v>
      </c>
      <c r="C55" s="454">
        <v>0</v>
      </c>
      <c r="D55" s="441">
        <v>-4.7229999999999999</v>
      </c>
      <c r="E55" s="442">
        <v>-0.68600000000000005</v>
      </c>
      <c r="F55" s="443">
        <v>-0.13800000000000001</v>
      </c>
      <c r="G55" s="445">
        <v>0</v>
      </c>
      <c r="H55" s="445">
        <v>0</v>
      </c>
      <c r="I55" s="445">
        <v>0</v>
      </c>
      <c r="J55" s="448">
        <v>0.113</v>
      </c>
      <c r="K55" s="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1:41" ht="35.049999999999997" customHeight="1" x14ac:dyDescent="0.3">
      <c r="A56" s="457" t="s">
        <v>600</v>
      </c>
      <c r="B56" s="453" t="s">
        <v>480</v>
      </c>
      <c r="C56" s="454">
        <v>0</v>
      </c>
      <c r="D56" s="441">
        <v>-3.157</v>
      </c>
      <c r="E56" s="442">
        <v>-0.40600000000000003</v>
      </c>
      <c r="F56" s="443">
        <v>-7.5999999999999998E-2</v>
      </c>
      <c r="G56" s="445">
        <v>0</v>
      </c>
      <c r="H56" s="445">
        <v>0</v>
      </c>
      <c r="I56" s="445">
        <v>0</v>
      </c>
      <c r="J56" s="448">
        <v>0.09</v>
      </c>
      <c r="K56" s="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1:41" ht="35.049999999999997" customHeight="1" x14ac:dyDescent="0.3">
      <c r="A57" s="452" t="s">
        <v>820</v>
      </c>
      <c r="B57" s="453" t="s">
        <v>480</v>
      </c>
      <c r="C57" s="454" t="s">
        <v>639</v>
      </c>
      <c r="D57" s="441">
        <v>1.9750000000000001</v>
      </c>
      <c r="E57" s="442">
        <v>0.29099999999999998</v>
      </c>
      <c r="F57" s="443">
        <v>5.8999999999999997E-2</v>
      </c>
      <c r="G57" s="455">
        <v>5.0199999999999996</v>
      </c>
      <c r="H57" s="445">
        <v>0</v>
      </c>
      <c r="I57" s="445">
        <v>0</v>
      </c>
      <c r="J57" s="446">
        <v>0</v>
      </c>
      <c r="K57" s="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1:41" ht="35.049999999999997" customHeight="1" x14ac:dyDescent="0.3">
      <c r="A58" s="452" t="s">
        <v>821</v>
      </c>
      <c r="B58" s="453" t="s">
        <v>480</v>
      </c>
      <c r="C58" s="454">
        <v>2</v>
      </c>
      <c r="D58" s="441">
        <v>1.9750000000000001</v>
      </c>
      <c r="E58" s="442">
        <v>0.29099999999999998</v>
      </c>
      <c r="F58" s="443">
        <v>5.8999999999999997E-2</v>
      </c>
      <c r="G58" s="445">
        <v>0</v>
      </c>
      <c r="H58" s="445">
        <v>0</v>
      </c>
      <c r="I58" s="445">
        <v>0</v>
      </c>
      <c r="J58" s="446">
        <v>0</v>
      </c>
      <c r="K58" s="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row>
    <row r="59" spans="1:41" ht="35.049999999999997" customHeight="1" x14ac:dyDescent="0.3">
      <c r="A59" s="452" t="s">
        <v>822</v>
      </c>
      <c r="B59" s="453" t="s">
        <v>480</v>
      </c>
      <c r="C59" s="454" t="s">
        <v>640</v>
      </c>
      <c r="D59" s="441">
        <v>2.1419999999999999</v>
      </c>
      <c r="E59" s="442">
        <v>0.316</v>
      </c>
      <c r="F59" s="443">
        <v>6.4000000000000001E-2</v>
      </c>
      <c r="G59" s="455">
        <v>2.1</v>
      </c>
      <c r="H59" s="445">
        <v>0</v>
      </c>
      <c r="I59" s="445">
        <v>0</v>
      </c>
      <c r="J59" s="446">
        <v>0</v>
      </c>
      <c r="K59" s="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row>
    <row r="60" spans="1:41" ht="35.049999999999997" customHeight="1" x14ac:dyDescent="0.3">
      <c r="A60" s="452" t="s">
        <v>823</v>
      </c>
      <c r="B60" s="453" t="s">
        <v>480</v>
      </c>
      <c r="C60" s="454" t="s">
        <v>640</v>
      </c>
      <c r="D60" s="441">
        <v>2.1419999999999999</v>
      </c>
      <c r="E60" s="442">
        <v>0.316</v>
      </c>
      <c r="F60" s="443">
        <v>6.4000000000000001E-2</v>
      </c>
      <c r="G60" s="455">
        <v>3.5</v>
      </c>
      <c r="H60" s="445">
        <v>0</v>
      </c>
      <c r="I60" s="445">
        <v>0</v>
      </c>
      <c r="J60" s="446">
        <v>0</v>
      </c>
      <c r="K60" s="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row>
    <row r="61" spans="1:41" ht="35.049999999999997" customHeight="1" x14ac:dyDescent="0.3">
      <c r="A61" s="452" t="s">
        <v>824</v>
      </c>
      <c r="B61" s="453" t="s">
        <v>480</v>
      </c>
      <c r="C61" s="454" t="s">
        <v>640</v>
      </c>
      <c r="D61" s="441">
        <v>2.1419999999999999</v>
      </c>
      <c r="E61" s="442">
        <v>0.316</v>
      </c>
      <c r="F61" s="443">
        <v>6.4000000000000001E-2</v>
      </c>
      <c r="G61" s="455">
        <v>9.49</v>
      </c>
      <c r="H61" s="445">
        <v>0</v>
      </c>
      <c r="I61" s="445">
        <v>0</v>
      </c>
      <c r="J61" s="446">
        <v>0</v>
      </c>
      <c r="K61" s="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1:41" ht="35.049999999999997" customHeight="1" x14ac:dyDescent="0.3">
      <c r="A62" s="452" t="s">
        <v>825</v>
      </c>
      <c r="B62" s="453" t="s">
        <v>480</v>
      </c>
      <c r="C62" s="454" t="s">
        <v>640</v>
      </c>
      <c r="D62" s="441">
        <v>2.1419999999999999</v>
      </c>
      <c r="E62" s="442">
        <v>0.316</v>
      </c>
      <c r="F62" s="443">
        <v>6.4000000000000001E-2</v>
      </c>
      <c r="G62" s="455">
        <v>20.46</v>
      </c>
      <c r="H62" s="445">
        <v>0</v>
      </c>
      <c r="I62" s="445">
        <v>0</v>
      </c>
      <c r="J62" s="446">
        <v>0</v>
      </c>
      <c r="K62" s="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row>
    <row r="63" spans="1:41" ht="35.049999999999997" customHeight="1" x14ac:dyDescent="0.3">
      <c r="A63" s="452" t="s">
        <v>826</v>
      </c>
      <c r="B63" s="453" t="s">
        <v>480</v>
      </c>
      <c r="C63" s="454" t="s">
        <v>640</v>
      </c>
      <c r="D63" s="441">
        <v>2.1419999999999999</v>
      </c>
      <c r="E63" s="442">
        <v>0.316</v>
      </c>
      <c r="F63" s="443">
        <v>6.4000000000000001E-2</v>
      </c>
      <c r="G63" s="455">
        <v>57.65</v>
      </c>
      <c r="H63" s="445">
        <v>0</v>
      </c>
      <c r="I63" s="445">
        <v>0</v>
      </c>
      <c r="J63" s="446">
        <v>0</v>
      </c>
      <c r="K63" s="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row>
    <row r="64" spans="1:41" ht="35.049999999999997" customHeight="1" x14ac:dyDescent="0.3">
      <c r="A64" s="452" t="s">
        <v>586</v>
      </c>
      <c r="B64" s="453" t="s">
        <v>480</v>
      </c>
      <c r="C64" s="454">
        <v>4</v>
      </c>
      <c r="D64" s="441">
        <v>2.1419999999999999</v>
      </c>
      <c r="E64" s="442">
        <v>0.316</v>
      </c>
      <c r="F64" s="443">
        <v>6.4000000000000001E-2</v>
      </c>
      <c r="G64" s="445">
        <v>0</v>
      </c>
      <c r="H64" s="445">
        <v>0</v>
      </c>
      <c r="I64" s="445">
        <v>0</v>
      </c>
      <c r="J64" s="446">
        <v>0</v>
      </c>
      <c r="K64" s="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row>
    <row r="65" spans="1:41" ht="35.049999999999997" customHeight="1" x14ac:dyDescent="0.3">
      <c r="A65" s="452" t="s">
        <v>827</v>
      </c>
      <c r="B65" s="453" t="s">
        <v>480</v>
      </c>
      <c r="C65" s="454">
        <v>0</v>
      </c>
      <c r="D65" s="441">
        <v>1.6279999999999999</v>
      </c>
      <c r="E65" s="442">
        <v>0.23300000000000001</v>
      </c>
      <c r="F65" s="443">
        <v>4.5999999999999999E-2</v>
      </c>
      <c r="G65" s="455">
        <v>4.04</v>
      </c>
      <c r="H65" s="455">
        <v>0.56999999999999995</v>
      </c>
      <c r="I65" s="456">
        <v>1.22</v>
      </c>
      <c r="J65" s="448">
        <v>0.04</v>
      </c>
      <c r="K65" s="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row>
    <row r="66" spans="1:41" ht="35.049999999999997" customHeight="1" x14ac:dyDescent="0.3">
      <c r="A66" s="452" t="s">
        <v>828</v>
      </c>
      <c r="B66" s="453" t="s">
        <v>480</v>
      </c>
      <c r="C66" s="454">
        <v>0</v>
      </c>
      <c r="D66" s="441">
        <v>1.6279999999999999</v>
      </c>
      <c r="E66" s="442">
        <v>0.23300000000000001</v>
      </c>
      <c r="F66" s="443">
        <v>4.5999999999999999E-2</v>
      </c>
      <c r="G66" s="455">
        <v>85.21</v>
      </c>
      <c r="H66" s="455">
        <v>0.56999999999999995</v>
      </c>
      <c r="I66" s="456">
        <v>1.22</v>
      </c>
      <c r="J66" s="448">
        <v>0.04</v>
      </c>
      <c r="K66" s="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row>
    <row r="67" spans="1:41" ht="35.049999999999997" customHeight="1" x14ac:dyDescent="0.3">
      <c r="A67" s="452" t="s">
        <v>829</v>
      </c>
      <c r="B67" s="453" t="s">
        <v>480</v>
      </c>
      <c r="C67" s="454">
        <v>0</v>
      </c>
      <c r="D67" s="441">
        <v>1.6279999999999999</v>
      </c>
      <c r="E67" s="442">
        <v>0.23300000000000001</v>
      </c>
      <c r="F67" s="443">
        <v>4.5999999999999999E-2</v>
      </c>
      <c r="G67" s="455">
        <v>188.35</v>
      </c>
      <c r="H67" s="455">
        <v>0.56999999999999995</v>
      </c>
      <c r="I67" s="456">
        <v>1.22</v>
      </c>
      <c r="J67" s="448">
        <v>0.04</v>
      </c>
      <c r="K67" s="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row>
    <row r="68" spans="1:41" ht="35.049999999999997" customHeight="1" x14ac:dyDescent="0.3">
      <c r="A68" s="452" t="s">
        <v>830</v>
      </c>
      <c r="B68" s="453" t="s">
        <v>480</v>
      </c>
      <c r="C68" s="454">
        <v>0</v>
      </c>
      <c r="D68" s="441">
        <v>1.6279999999999999</v>
      </c>
      <c r="E68" s="442">
        <v>0.23300000000000001</v>
      </c>
      <c r="F68" s="443">
        <v>4.5999999999999999E-2</v>
      </c>
      <c r="G68" s="455">
        <v>286.98</v>
      </c>
      <c r="H68" s="455">
        <v>0.56999999999999995</v>
      </c>
      <c r="I68" s="456">
        <v>1.22</v>
      </c>
      <c r="J68" s="448">
        <v>0.04</v>
      </c>
      <c r="K68" s="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row>
    <row r="69" spans="1:41" ht="35.049999999999997" customHeight="1" x14ac:dyDescent="0.3">
      <c r="A69" s="452" t="s">
        <v>831</v>
      </c>
      <c r="B69" s="453" t="s">
        <v>480</v>
      </c>
      <c r="C69" s="454">
        <v>0</v>
      </c>
      <c r="D69" s="441">
        <v>1.6279999999999999</v>
      </c>
      <c r="E69" s="442">
        <v>0.23300000000000001</v>
      </c>
      <c r="F69" s="443">
        <v>4.5999999999999999E-2</v>
      </c>
      <c r="G69" s="455">
        <v>733.9</v>
      </c>
      <c r="H69" s="455">
        <v>0.56999999999999995</v>
      </c>
      <c r="I69" s="456">
        <v>1.22</v>
      </c>
      <c r="J69" s="448">
        <v>0.04</v>
      </c>
      <c r="K69" s="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row>
    <row r="70" spans="1:41" ht="35.049999999999997" customHeight="1" x14ac:dyDescent="0.3">
      <c r="A70" s="452" t="s">
        <v>832</v>
      </c>
      <c r="B70" s="453" t="s">
        <v>480</v>
      </c>
      <c r="C70" s="454">
        <v>0</v>
      </c>
      <c r="D70" s="441">
        <v>1.698</v>
      </c>
      <c r="E70" s="442">
        <v>0.221</v>
      </c>
      <c r="F70" s="443">
        <v>4.1000000000000002E-2</v>
      </c>
      <c r="G70" s="455">
        <v>6.65</v>
      </c>
      <c r="H70" s="455">
        <v>1.3</v>
      </c>
      <c r="I70" s="456">
        <v>2.0299999999999998</v>
      </c>
      <c r="J70" s="448">
        <v>3.7999999999999999E-2</v>
      </c>
      <c r="K70" s="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row>
    <row r="71" spans="1:41" ht="35.049999999999997" customHeight="1" x14ac:dyDescent="0.3">
      <c r="A71" s="452" t="s">
        <v>833</v>
      </c>
      <c r="B71" s="453" t="s">
        <v>480</v>
      </c>
      <c r="C71" s="454">
        <v>0</v>
      </c>
      <c r="D71" s="441">
        <v>1.698</v>
      </c>
      <c r="E71" s="442">
        <v>0.221</v>
      </c>
      <c r="F71" s="443">
        <v>4.1000000000000002E-2</v>
      </c>
      <c r="G71" s="455">
        <v>142.13</v>
      </c>
      <c r="H71" s="455">
        <v>1.3</v>
      </c>
      <c r="I71" s="456">
        <v>2.0299999999999998</v>
      </c>
      <c r="J71" s="448">
        <v>3.7999999999999999E-2</v>
      </c>
      <c r="K71" s="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row>
    <row r="72" spans="1:41" ht="35.049999999999997" customHeight="1" x14ac:dyDescent="0.3">
      <c r="A72" s="452" t="s">
        <v>834</v>
      </c>
      <c r="B72" s="453" t="s">
        <v>480</v>
      </c>
      <c r="C72" s="454">
        <v>0</v>
      </c>
      <c r="D72" s="441">
        <v>1.698</v>
      </c>
      <c r="E72" s="442">
        <v>0.221</v>
      </c>
      <c r="F72" s="443">
        <v>4.1000000000000002E-2</v>
      </c>
      <c r="G72" s="455">
        <v>314.29000000000002</v>
      </c>
      <c r="H72" s="455">
        <v>1.3</v>
      </c>
      <c r="I72" s="456">
        <v>2.0299999999999998</v>
      </c>
      <c r="J72" s="448">
        <v>3.7999999999999999E-2</v>
      </c>
      <c r="K72" s="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row>
    <row r="73" spans="1:41" ht="35.049999999999997" customHeight="1" x14ac:dyDescent="0.3">
      <c r="A73" s="452" t="s">
        <v>835</v>
      </c>
      <c r="B73" s="453" t="s">
        <v>480</v>
      </c>
      <c r="C73" s="454">
        <v>0</v>
      </c>
      <c r="D73" s="441">
        <v>1.698</v>
      </c>
      <c r="E73" s="442">
        <v>0.221</v>
      </c>
      <c r="F73" s="443">
        <v>4.1000000000000002E-2</v>
      </c>
      <c r="G73" s="455">
        <v>478.92</v>
      </c>
      <c r="H73" s="455">
        <v>1.3</v>
      </c>
      <c r="I73" s="456">
        <v>2.0299999999999998</v>
      </c>
      <c r="J73" s="448">
        <v>3.7999999999999999E-2</v>
      </c>
      <c r="K73" s="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row>
    <row r="74" spans="1:41" ht="35.049999999999997" customHeight="1" x14ac:dyDescent="0.3">
      <c r="A74" s="452" t="s">
        <v>836</v>
      </c>
      <c r="B74" s="453" t="s">
        <v>480</v>
      </c>
      <c r="C74" s="454">
        <v>0</v>
      </c>
      <c r="D74" s="441">
        <v>1.698</v>
      </c>
      <c r="E74" s="442">
        <v>0.221</v>
      </c>
      <c r="F74" s="443">
        <v>4.1000000000000002E-2</v>
      </c>
      <c r="G74" s="455">
        <v>1224.9000000000001</v>
      </c>
      <c r="H74" s="455">
        <v>1.3</v>
      </c>
      <c r="I74" s="456">
        <v>2.0299999999999998</v>
      </c>
      <c r="J74" s="448">
        <v>3.7999999999999999E-2</v>
      </c>
      <c r="K74" s="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row>
    <row r="75" spans="1:41" ht="35.049999999999997" customHeight="1" x14ac:dyDescent="0.3">
      <c r="A75" s="452" t="s">
        <v>837</v>
      </c>
      <c r="B75" s="453" t="s">
        <v>480</v>
      </c>
      <c r="C75" s="454">
        <v>0</v>
      </c>
      <c r="D75" s="441">
        <v>1.6</v>
      </c>
      <c r="E75" s="442">
        <v>0.187</v>
      </c>
      <c r="F75" s="443">
        <v>3.3000000000000002E-2</v>
      </c>
      <c r="G75" s="455">
        <v>95.47</v>
      </c>
      <c r="H75" s="455">
        <v>1.6</v>
      </c>
      <c r="I75" s="456">
        <v>2.71</v>
      </c>
      <c r="J75" s="448">
        <v>3.4000000000000002E-2</v>
      </c>
      <c r="K75" s="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row>
    <row r="76" spans="1:41" ht="35.049999999999997" customHeight="1" x14ac:dyDescent="0.3">
      <c r="A76" s="452" t="s">
        <v>838</v>
      </c>
      <c r="B76" s="453" t="s">
        <v>480</v>
      </c>
      <c r="C76" s="454">
        <v>0</v>
      </c>
      <c r="D76" s="441">
        <v>1.6</v>
      </c>
      <c r="E76" s="442">
        <v>0.187</v>
      </c>
      <c r="F76" s="443">
        <v>3.3000000000000002E-2</v>
      </c>
      <c r="G76" s="455">
        <v>1287.17</v>
      </c>
      <c r="H76" s="455">
        <v>1.6</v>
      </c>
      <c r="I76" s="456">
        <v>2.71</v>
      </c>
      <c r="J76" s="448">
        <v>3.4000000000000002E-2</v>
      </c>
      <c r="K76" s="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row>
    <row r="77" spans="1:41" ht="35.049999999999997" customHeight="1" x14ac:dyDescent="0.3">
      <c r="A77" s="452" t="s">
        <v>839</v>
      </c>
      <c r="B77" s="453" t="s">
        <v>480</v>
      </c>
      <c r="C77" s="454">
        <v>0</v>
      </c>
      <c r="D77" s="441">
        <v>1.6</v>
      </c>
      <c r="E77" s="442">
        <v>0.187</v>
      </c>
      <c r="F77" s="443">
        <v>3.3000000000000002E-2</v>
      </c>
      <c r="G77" s="455">
        <v>3181.85</v>
      </c>
      <c r="H77" s="455">
        <v>1.6</v>
      </c>
      <c r="I77" s="456">
        <v>2.71</v>
      </c>
      <c r="J77" s="448">
        <v>3.4000000000000002E-2</v>
      </c>
      <c r="K77" s="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row>
    <row r="78" spans="1:41" ht="35.049999999999997" customHeight="1" x14ac:dyDescent="0.3">
      <c r="A78" s="452" t="s">
        <v>840</v>
      </c>
      <c r="B78" s="453" t="s">
        <v>480</v>
      </c>
      <c r="C78" s="454">
        <v>0</v>
      </c>
      <c r="D78" s="441">
        <v>1.6</v>
      </c>
      <c r="E78" s="442">
        <v>0.187</v>
      </c>
      <c r="F78" s="443">
        <v>3.3000000000000002E-2</v>
      </c>
      <c r="G78" s="455">
        <v>5735.81</v>
      </c>
      <c r="H78" s="455">
        <v>1.6</v>
      </c>
      <c r="I78" s="456">
        <v>2.71</v>
      </c>
      <c r="J78" s="448">
        <v>3.4000000000000002E-2</v>
      </c>
      <c r="K78" s="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row>
    <row r="79" spans="1:41" ht="35.049999999999997" customHeight="1" x14ac:dyDescent="0.3">
      <c r="A79" s="452" t="s">
        <v>841</v>
      </c>
      <c r="B79" s="453" t="s">
        <v>480</v>
      </c>
      <c r="C79" s="454">
        <v>0</v>
      </c>
      <c r="D79" s="441">
        <v>1.6</v>
      </c>
      <c r="E79" s="442">
        <v>0.187</v>
      </c>
      <c r="F79" s="443">
        <v>3.3000000000000002E-2</v>
      </c>
      <c r="G79" s="455">
        <v>15056.91</v>
      </c>
      <c r="H79" s="455">
        <v>1.6</v>
      </c>
      <c r="I79" s="456">
        <v>2.71</v>
      </c>
      <c r="J79" s="448">
        <v>3.4000000000000002E-2</v>
      </c>
      <c r="K79" s="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row>
    <row r="80" spans="1:41" ht="35.049999999999997" customHeight="1" x14ac:dyDescent="0.3">
      <c r="A80" s="452" t="s">
        <v>587</v>
      </c>
      <c r="B80" s="453" t="s">
        <v>480</v>
      </c>
      <c r="C80" s="454" t="s">
        <v>641</v>
      </c>
      <c r="D80" s="449">
        <v>5.1849999999999996</v>
      </c>
      <c r="E80" s="450">
        <v>0.59699999999999998</v>
      </c>
      <c r="F80" s="451">
        <v>0.41399999999999998</v>
      </c>
      <c r="G80" s="445">
        <v>0</v>
      </c>
      <c r="H80" s="445">
        <v>0</v>
      </c>
      <c r="I80" s="445">
        <v>0</v>
      </c>
      <c r="J80" s="446">
        <v>0</v>
      </c>
      <c r="K80" s="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row>
    <row r="81" spans="1:41" ht="35.049999999999997" customHeight="1" x14ac:dyDescent="0.3">
      <c r="A81" s="452" t="s">
        <v>691</v>
      </c>
      <c r="B81" s="453" t="s">
        <v>480</v>
      </c>
      <c r="C81" s="454" t="s">
        <v>719</v>
      </c>
      <c r="D81" s="441">
        <v>-2.4119999999999999</v>
      </c>
      <c r="E81" s="442">
        <v>-0.35599999999999998</v>
      </c>
      <c r="F81" s="443">
        <v>-7.1999999999999995E-2</v>
      </c>
      <c r="G81" s="445">
        <v>0</v>
      </c>
      <c r="H81" s="445">
        <v>0</v>
      </c>
      <c r="I81" s="445">
        <v>0</v>
      </c>
      <c r="J81" s="446">
        <v>0</v>
      </c>
      <c r="K81" s="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row>
    <row r="82" spans="1:41" ht="35.049999999999997" customHeight="1" x14ac:dyDescent="0.3">
      <c r="A82" s="452" t="s">
        <v>692</v>
      </c>
      <c r="B82" s="453" t="s">
        <v>480</v>
      </c>
      <c r="C82" s="454">
        <v>8</v>
      </c>
      <c r="D82" s="441">
        <v>-2.6480000000000001</v>
      </c>
      <c r="E82" s="442">
        <v>-0.38500000000000001</v>
      </c>
      <c r="F82" s="443">
        <v>-7.6999999999999999E-2</v>
      </c>
      <c r="G82" s="445">
        <v>0</v>
      </c>
      <c r="H82" s="445">
        <v>0</v>
      </c>
      <c r="I82" s="445">
        <v>0</v>
      </c>
      <c r="J82" s="446">
        <v>0</v>
      </c>
      <c r="K82" s="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row>
    <row r="83" spans="1:41" ht="35.049999999999997" customHeight="1" x14ac:dyDescent="0.3">
      <c r="A83" s="452" t="s">
        <v>693</v>
      </c>
      <c r="B83" s="453" t="s">
        <v>480</v>
      </c>
      <c r="C83" s="454">
        <v>0</v>
      </c>
      <c r="D83" s="441">
        <v>-2.4119999999999999</v>
      </c>
      <c r="E83" s="442">
        <v>-0.35599999999999998</v>
      </c>
      <c r="F83" s="443">
        <v>-7.1999999999999995E-2</v>
      </c>
      <c r="G83" s="445">
        <v>0</v>
      </c>
      <c r="H83" s="445">
        <v>0</v>
      </c>
      <c r="I83" s="445">
        <v>0</v>
      </c>
      <c r="J83" s="448">
        <v>5.3999999999999999E-2</v>
      </c>
      <c r="K83" s="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row>
    <row r="84" spans="1:41" ht="35.049999999999997" customHeight="1" x14ac:dyDescent="0.3">
      <c r="A84" s="452" t="s">
        <v>694</v>
      </c>
      <c r="B84" s="453" t="s">
        <v>480</v>
      </c>
      <c r="C84" s="454">
        <v>0</v>
      </c>
      <c r="D84" s="441">
        <v>-2.6480000000000001</v>
      </c>
      <c r="E84" s="442">
        <v>-0.38500000000000001</v>
      </c>
      <c r="F84" s="443">
        <v>-7.6999999999999999E-2</v>
      </c>
      <c r="G84" s="445">
        <v>0</v>
      </c>
      <c r="H84" s="445">
        <v>0</v>
      </c>
      <c r="I84" s="445">
        <v>0</v>
      </c>
      <c r="J84" s="448">
        <v>6.3E-2</v>
      </c>
      <c r="K84" s="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row>
    <row r="85" spans="1:41" ht="35.049999999999997" customHeight="1" x14ac:dyDescent="0.3">
      <c r="A85" s="452" t="s">
        <v>695</v>
      </c>
      <c r="B85" s="453" t="s">
        <v>480</v>
      </c>
      <c r="C85" s="454">
        <v>0</v>
      </c>
      <c r="D85" s="441">
        <v>-3.157</v>
      </c>
      <c r="E85" s="442">
        <v>-0.40600000000000003</v>
      </c>
      <c r="F85" s="443">
        <v>-7.5999999999999998E-2</v>
      </c>
      <c r="G85" s="455">
        <v>106.5</v>
      </c>
      <c r="H85" s="445">
        <v>0</v>
      </c>
      <c r="I85" s="445">
        <v>0</v>
      </c>
      <c r="J85" s="448">
        <v>0.09</v>
      </c>
      <c r="K85" s="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row>
    <row r="86" spans="1:41" ht="35.049999999999997" customHeight="1" x14ac:dyDescent="0.3">
      <c r="A86" s="452" t="s">
        <v>842</v>
      </c>
      <c r="B86" s="453" t="s">
        <v>480</v>
      </c>
      <c r="C86" s="454" t="s">
        <v>639</v>
      </c>
      <c r="D86" s="441">
        <v>1.373</v>
      </c>
      <c r="E86" s="442">
        <v>0.20200000000000001</v>
      </c>
      <c r="F86" s="443">
        <v>4.1000000000000002E-2</v>
      </c>
      <c r="G86" s="455">
        <v>3.56</v>
      </c>
      <c r="H86" s="445">
        <v>0</v>
      </c>
      <c r="I86" s="445">
        <v>0</v>
      </c>
      <c r="J86" s="446">
        <v>0</v>
      </c>
      <c r="K86" s="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row>
    <row r="87" spans="1:41" ht="35.049999999999997" customHeight="1" x14ac:dyDescent="0.3">
      <c r="A87" s="452" t="s">
        <v>843</v>
      </c>
      <c r="B87" s="453" t="s">
        <v>480</v>
      </c>
      <c r="C87" s="454">
        <v>2</v>
      </c>
      <c r="D87" s="441">
        <v>1.373</v>
      </c>
      <c r="E87" s="442">
        <v>0.20200000000000001</v>
      </c>
      <c r="F87" s="443">
        <v>4.1000000000000002E-2</v>
      </c>
      <c r="G87" s="445">
        <v>0</v>
      </c>
      <c r="H87" s="445">
        <v>0</v>
      </c>
      <c r="I87" s="445">
        <v>0</v>
      </c>
      <c r="J87" s="446">
        <v>0</v>
      </c>
      <c r="K87" s="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row>
    <row r="88" spans="1:41" ht="35.049999999999997" customHeight="1" x14ac:dyDescent="0.3">
      <c r="A88" s="452" t="s">
        <v>844</v>
      </c>
      <c r="B88" s="453" t="s">
        <v>480</v>
      </c>
      <c r="C88" s="454" t="s">
        <v>640</v>
      </c>
      <c r="D88" s="441">
        <v>1.4890000000000001</v>
      </c>
      <c r="E88" s="442">
        <v>0.219</v>
      </c>
      <c r="F88" s="443">
        <v>4.3999999999999997E-2</v>
      </c>
      <c r="G88" s="455">
        <v>1.5</v>
      </c>
      <c r="H88" s="445">
        <v>0</v>
      </c>
      <c r="I88" s="445">
        <v>0</v>
      </c>
      <c r="J88" s="446">
        <v>0</v>
      </c>
      <c r="K88" s="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row>
    <row r="89" spans="1:41" ht="35.049999999999997" customHeight="1" x14ac:dyDescent="0.3">
      <c r="A89" s="452" t="s">
        <v>845</v>
      </c>
      <c r="B89" s="453" t="s">
        <v>480</v>
      </c>
      <c r="C89" s="454" t="s">
        <v>640</v>
      </c>
      <c r="D89" s="441">
        <v>1.4890000000000001</v>
      </c>
      <c r="E89" s="442">
        <v>0.219</v>
      </c>
      <c r="F89" s="443">
        <v>4.3999999999999997E-2</v>
      </c>
      <c r="G89" s="455">
        <v>2.4700000000000002</v>
      </c>
      <c r="H89" s="445">
        <v>0</v>
      </c>
      <c r="I89" s="445">
        <v>0</v>
      </c>
      <c r="J89" s="446">
        <v>0</v>
      </c>
      <c r="K89" s="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row>
    <row r="90" spans="1:41" ht="35.049999999999997" customHeight="1" x14ac:dyDescent="0.3">
      <c r="A90" s="452" t="s">
        <v>846</v>
      </c>
      <c r="B90" s="453" t="s">
        <v>480</v>
      </c>
      <c r="C90" s="454" t="s">
        <v>640</v>
      </c>
      <c r="D90" s="441">
        <v>1.4890000000000001</v>
      </c>
      <c r="E90" s="442">
        <v>0.219</v>
      </c>
      <c r="F90" s="443">
        <v>4.3999999999999997E-2</v>
      </c>
      <c r="G90" s="455">
        <v>6.63</v>
      </c>
      <c r="H90" s="445">
        <v>0</v>
      </c>
      <c r="I90" s="445">
        <v>0</v>
      </c>
      <c r="J90" s="446">
        <v>0</v>
      </c>
      <c r="K90" s="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row>
    <row r="91" spans="1:41" ht="35.049999999999997" customHeight="1" x14ac:dyDescent="0.3">
      <c r="A91" s="452" t="s">
        <v>847</v>
      </c>
      <c r="B91" s="453" t="s">
        <v>480</v>
      </c>
      <c r="C91" s="454" t="s">
        <v>640</v>
      </c>
      <c r="D91" s="441">
        <v>1.4890000000000001</v>
      </c>
      <c r="E91" s="442">
        <v>0.219</v>
      </c>
      <c r="F91" s="443">
        <v>4.3999999999999997E-2</v>
      </c>
      <c r="G91" s="455">
        <v>14.27</v>
      </c>
      <c r="H91" s="445">
        <v>0</v>
      </c>
      <c r="I91" s="445">
        <v>0</v>
      </c>
      <c r="J91" s="446">
        <v>0</v>
      </c>
      <c r="K91" s="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row>
    <row r="92" spans="1:41" ht="35.049999999999997" customHeight="1" x14ac:dyDescent="0.3">
      <c r="A92" s="452" t="s">
        <v>848</v>
      </c>
      <c r="B92" s="453" t="s">
        <v>480</v>
      </c>
      <c r="C92" s="454" t="s">
        <v>640</v>
      </c>
      <c r="D92" s="441">
        <v>1.4890000000000001</v>
      </c>
      <c r="E92" s="442">
        <v>0.219</v>
      </c>
      <c r="F92" s="443">
        <v>4.3999999999999997E-2</v>
      </c>
      <c r="G92" s="455">
        <v>40.119999999999997</v>
      </c>
      <c r="H92" s="445">
        <v>0</v>
      </c>
      <c r="I92" s="445">
        <v>0</v>
      </c>
      <c r="J92" s="446">
        <v>0</v>
      </c>
      <c r="K92" s="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row>
    <row r="93" spans="1:41" ht="35.049999999999997" customHeight="1" x14ac:dyDescent="0.3">
      <c r="A93" s="452" t="s">
        <v>588</v>
      </c>
      <c r="B93" s="453" t="s">
        <v>480</v>
      </c>
      <c r="C93" s="454">
        <v>4</v>
      </c>
      <c r="D93" s="441">
        <v>1.4890000000000001</v>
      </c>
      <c r="E93" s="442">
        <v>0.219</v>
      </c>
      <c r="F93" s="443">
        <v>4.3999999999999997E-2</v>
      </c>
      <c r="G93" s="445">
        <v>0</v>
      </c>
      <c r="H93" s="445">
        <v>0</v>
      </c>
      <c r="I93" s="445">
        <v>0</v>
      </c>
      <c r="J93" s="446">
        <v>0</v>
      </c>
      <c r="K93" s="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row>
    <row r="94" spans="1:41" ht="35.049999999999997" customHeight="1" x14ac:dyDescent="0.3">
      <c r="A94" s="452" t="s">
        <v>849</v>
      </c>
      <c r="B94" s="453" t="s">
        <v>480</v>
      </c>
      <c r="C94" s="454">
        <v>0</v>
      </c>
      <c r="D94" s="441">
        <v>1.1319999999999999</v>
      </c>
      <c r="E94" s="442">
        <v>0.16200000000000001</v>
      </c>
      <c r="F94" s="443">
        <v>3.2000000000000001E-2</v>
      </c>
      <c r="G94" s="455">
        <v>2.85</v>
      </c>
      <c r="H94" s="455">
        <v>0.4</v>
      </c>
      <c r="I94" s="456">
        <v>0.84</v>
      </c>
      <c r="J94" s="448">
        <v>2.8000000000000001E-2</v>
      </c>
      <c r="K94" s="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row>
    <row r="95" spans="1:41" ht="35.049999999999997" customHeight="1" x14ac:dyDescent="0.3">
      <c r="A95" s="452" t="s">
        <v>850</v>
      </c>
      <c r="B95" s="453" t="s">
        <v>480</v>
      </c>
      <c r="C95" s="454">
        <v>0</v>
      </c>
      <c r="D95" s="441">
        <v>1.1319999999999999</v>
      </c>
      <c r="E95" s="442">
        <v>0.16200000000000001</v>
      </c>
      <c r="F95" s="443">
        <v>3.2000000000000001E-2</v>
      </c>
      <c r="G95" s="455">
        <v>59.28</v>
      </c>
      <c r="H95" s="455">
        <v>0.4</v>
      </c>
      <c r="I95" s="456">
        <v>0.84</v>
      </c>
      <c r="J95" s="448">
        <v>2.8000000000000001E-2</v>
      </c>
      <c r="K95" s="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row>
    <row r="96" spans="1:41" ht="35.049999999999997" customHeight="1" x14ac:dyDescent="0.3">
      <c r="A96" s="452" t="s">
        <v>851</v>
      </c>
      <c r="B96" s="453" t="s">
        <v>480</v>
      </c>
      <c r="C96" s="454">
        <v>0</v>
      </c>
      <c r="D96" s="441">
        <v>1.1319999999999999</v>
      </c>
      <c r="E96" s="442">
        <v>0.16200000000000001</v>
      </c>
      <c r="F96" s="443">
        <v>3.2000000000000001E-2</v>
      </c>
      <c r="G96" s="455">
        <v>130.97999999999999</v>
      </c>
      <c r="H96" s="455">
        <v>0.4</v>
      </c>
      <c r="I96" s="456">
        <v>0.84</v>
      </c>
      <c r="J96" s="448">
        <v>2.8000000000000001E-2</v>
      </c>
      <c r="K96" s="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41" ht="35.049999999999997" customHeight="1" x14ac:dyDescent="0.3">
      <c r="A97" s="452" t="s">
        <v>852</v>
      </c>
      <c r="B97" s="453" t="s">
        <v>480</v>
      </c>
      <c r="C97" s="454">
        <v>0</v>
      </c>
      <c r="D97" s="441">
        <v>1.1319999999999999</v>
      </c>
      <c r="E97" s="442">
        <v>0.16200000000000001</v>
      </c>
      <c r="F97" s="443">
        <v>3.2000000000000001E-2</v>
      </c>
      <c r="G97" s="455">
        <v>199.55</v>
      </c>
      <c r="H97" s="455">
        <v>0.4</v>
      </c>
      <c r="I97" s="456">
        <v>0.84</v>
      </c>
      <c r="J97" s="448">
        <v>2.8000000000000001E-2</v>
      </c>
      <c r="K97" s="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row>
    <row r="98" spans="1:41" ht="35.049999999999997" customHeight="1" x14ac:dyDescent="0.3">
      <c r="A98" s="452" t="s">
        <v>853</v>
      </c>
      <c r="B98" s="453" t="s">
        <v>480</v>
      </c>
      <c r="C98" s="454">
        <v>0</v>
      </c>
      <c r="D98" s="441">
        <v>1.1319999999999999</v>
      </c>
      <c r="E98" s="442">
        <v>0.16200000000000001</v>
      </c>
      <c r="F98" s="443">
        <v>3.2000000000000001E-2</v>
      </c>
      <c r="G98" s="455">
        <v>510.24</v>
      </c>
      <c r="H98" s="455">
        <v>0.4</v>
      </c>
      <c r="I98" s="456">
        <v>0.84</v>
      </c>
      <c r="J98" s="448">
        <v>2.8000000000000001E-2</v>
      </c>
      <c r="K98" s="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row>
    <row r="99" spans="1:41" ht="35.049999999999997" customHeight="1" x14ac:dyDescent="0.3">
      <c r="A99" s="452" t="s">
        <v>854</v>
      </c>
      <c r="B99" s="453" t="s">
        <v>480</v>
      </c>
      <c r="C99" s="454">
        <v>0</v>
      </c>
      <c r="D99" s="441">
        <v>1.18</v>
      </c>
      <c r="E99" s="442">
        <v>0.154</v>
      </c>
      <c r="F99" s="443">
        <v>2.9000000000000001E-2</v>
      </c>
      <c r="G99" s="455">
        <v>4.67</v>
      </c>
      <c r="H99" s="455">
        <v>0.9</v>
      </c>
      <c r="I99" s="456">
        <v>1.41</v>
      </c>
      <c r="J99" s="448">
        <v>2.5999999999999999E-2</v>
      </c>
      <c r="K99" s="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row>
    <row r="100" spans="1:41" ht="35.049999999999997" customHeight="1" x14ac:dyDescent="0.3">
      <c r="A100" s="452" t="s">
        <v>855</v>
      </c>
      <c r="B100" s="453" t="s">
        <v>480</v>
      </c>
      <c r="C100" s="454">
        <v>0</v>
      </c>
      <c r="D100" s="441">
        <v>1.18</v>
      </c>
      <c r="E100" s="442">
        <v>0.154</v>
      </c>
      <c r="F100" s="443">
        <v>2.9000000000000001E-2</v>
      </c>
      <c r="G100" s="455">
        <v>98.85</v>
      </c>
      <c r="H100" s="455">
        <v>0.9</v>
      </c>
      <c r="I100" s="456">
        <v>1.41</v>
      </c>
      <c r="J100" s="448">
        <v>2.5999999999999999E-2</v>
      </c>
      <c r="K100" s="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row>
    <row r="101" spans="1:41" ht="35.049999999999997" customHeight="1" x14ac:dyDescent="0.3">
      <c r="A101" s="452" t="s">
        <v>856</v>
      </c>
      <c r="B101" s="453" t="s">
        <v>480</v>
      </c>
      <c r="C101" s="454">
        <v>0</v>
      </c>
      <c r="D101" s="441">
        <v>1.18</v>
      </c>
      <c r="E101" s="442">
        <v>0.154</v>
      </c>
      <c r="F101" s="443">
        <v>2.9000000000000001E-2</v>
      </c>
      <c r="G101" s="455">
        <v>218.53</v>
      </c>
      <c r="H101" s="455">
        <v>0.9</v>
      </c>
      <c r="I101" s="456">
        <v>1.41</v>
      </c>
      <c r="J101" s="448">
        <v>2.5999999999999999E-2</v>
      </c>
      <c r="K101" s="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row>
    <row r="102" spans="1:41" ht="35.049999999999997" customHeight="1" x14ac:dyDescent="0.3">
      <c r="A102" s="452" t="s">
        <v>857</v>
      </c>
      <c r="B102" s="453" t="s">
        <v>480</v>
      </c>
      <c r="C102" s="454">
        <v>0</v>
      </c>
      <c r="D102" s="441">
        <v>1.18</v>
      </c>
      <c r="E102" s="442">
        <v>0.154</v>
      </c>
      <c r="F102" s="443">
        <v>2.9000000000000001E-2</v>
      </c>
      <c r="G102" s="455">
        <v>332.99</v>
      </c>
      <c r="H102" s="455">
        <v>0.9</v>
      </c>
      <c r="I102" s="456">
        <v>1.41</v>
      </c>
      <c r="J102" s="448">
        <v>2.5999999999999999E-2</v>
      </c>
      <c r="K102" s="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row>
    <row r="103" spans="1:41" ht="35.049999999999997" customHeight="1" x14ac:dyDescent="0.3">
      <c r="A103" s="452" t="s">
        <v>858</v>
      </c>
      <c r="B103" s="453" t="s">
        <v>480</v>
      </c>
      <c r="C103" s="454">
        <v>0</v>
      </c>
      <c r="D103" s="441">
        <v>1.18</v>
      </c>
      <c r="E103" s="442">
        <v>0.154</v>
      </c>
      <c r="F103" s="443">
        <v>2.9000000000000001E-2</v>
      </c>
      <c r="G103" s="455">
        <v>851.59</v>
      </c>
      <c r="H103" s="455">
        <v>0.9</v>
      </c>
      <c r="I103" s="456">
        <v>1.41</v>
      </c>
      <c r="J103" s="448">
        <v>2.5999999999999999E-2</v>
      </c>
      <c r="K103" s="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row>
    <row r="104" spans="1:41" ht="35.049999999999997" customHeight="1" x14ac:dyDescent="0.3">
      <c r="A104" s="452" t="s">
        <v>859</v>
      </c>
      <c r="B104" s="453" t="s">
        <v>480</v>
      </c>
      <c r="C104" s="454">
        <v>0</v>
      </c>
      <c r="D104" s="441">
        <v>1.1120000000000001</v>
      </c>
      <c r="E104" s="442">
        <v>0.13</v>
      </c>
      <c r="F104" s="443">
        <v>2.3E-2</v>
      </c>
      <c r="G104" s="455">
        <v>66.41</v>
      </c>
      <c r="H104" s="455">
        <v>1.1100000000000001</v>
      </c>
      <c r="I104" s="456">
        <v>1.89</v>
      </c>
      <c r="J104" s="448">
        <v>2.4E-2</v>
      </c>
      <c r="K104" s="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row>
    <row r="105" spans="1:41" ht="35.049999999999997" customHeight="1" x14ac:dyDescent="0.3">
      <c r="A105" s="452" t="s">
        <v>860</v>
      </c>
      <c r="B105" s="453" t="s">
        <v>480</v>
      </c>
      <c r="C105" s="454">
        <v>0</v>
      </c>
      <c r="D105" s="441">
        <v>1.1120000000000001</v>
      </c>
      <c r="E105" s="442">
        <v>0.13</v>
      </c>
      <c r="F105" s="443">
        <v>2.3E-2</v>
      </c>
      <c r="G105" s="455">
        <v>894.88</v>
      </c>
      <c r="H105" s="455">
        <v>1.1100000000000001</v>
      </c>
      <c r="I105" s="456">
        <v>1.89</v>
      </c>
      <c r="J105" s="448">
        <v>2.4E-2</v>
      </c>
      <c r="K105" s="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row>
    <row r="106" spans="1:41" ht="35.049999999999997" customHeight="1" x14ac:dyDescent="0.3">
      <c r="A106" s="452" t="s">
        <v>861</v>
      </c>
      <c r="B106" s="453" t="s">
        <v>480</v>
      </c>
      <c r="C106" s="454">
        <v>0</v>
      </c>
      <c r="D106" s="441">
        <v>1.1120000000000001</v>
      </c>
      <c r="E106" s="442">
        <v>0.13</v>
      </c>
      <c r="F106" s="443">
        <v>2.3E-2</v>
      </c>
      <c r="G106" s="455">
        <v>2212.06</v>
      </c>
      <c r="H106" s="455">
        <v>1.1100000000000001</v>
      </c>
      <c r="I106" s="456">
        <v>1.89</v>
      </c>
      <c r="J106" s="448">
        <v>2.4E-2</v>
      </c>
      <c r="K106" s="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row>
    <row r="107" spans="1:41" ht="35.049999999999997" customHeight="1" x14ac:dyDescent="0.3">
      <c r="A107" s="452" t="s">
        <v>862</v>
      </c>
      <c r="B107" s="453" t="s">
        <v>480</v>
      </c>
      <c r="C107" s="454">
        <v>0</v>
      </c>
      <c r="D107" s="441">
        <v>1.1120000000000001</v>
      </c>
      <c r="E107" s="442">
        <v>0.13</v>
      </c>
      <c r="F107" s="443">
        <v>2.3E-2</v>
      </c>
      <c r="G107" s="455">
        <v>3987.57</v>
      </c>
      <c r="H107" s="455">
        <v>1.1100000000000001</v>
      </c>
      <c r="I107" s="456">
        <v>1.89</v>
      </c>
      <c r="J107" s="448">
        <v>2.4E-2</v>
      </c>
      <c r="K107" s="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row>
    <row r="108" spans="1:41" ht="35.049999999999997" customHeight="1" x14ac:dyDescent="0.3">
      <c r="A108" s="452" t="s">
        <v>863</v>
      </c>
      <c r="B108" s="453" t="s">
        <v>480</v>
      </c>
      <c r="C108" s="454">
        <v>0</v>
      </c>
      <c r="D108" s="441">
        <v>1.1120000000000001</v>
      </c>
      <c r="E108" s="442">
        <v>0.13</v>
      </c>
      <c r="F108" s="443">
        <v>2.3E-2</v>
      </c>
      <c r="G108" s="455">
        <v>10467.59</v>
      </c>
      <c r="H108" s="455">
        <v>1.1100000000000001</v>
      </c>
      <c r="I108" s="456">
        <v>1.89</v>
      </c>
      <c r="J108" s="448">
        <v>2.4E-2</v>
      </c>
      <c r="K108" s="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row>
    <row r="109" spans="1:41" ht="35.049999999999997" customHeight="1" x14ac:dyDescent="0.3">
      <c r="A109" s="452" t="s">
        <v>589</v>
      </c>
      <c r="B109" s="453" t="s">
        <v>480</v>
      </c>
      <c r="C109" s="454" t="s">
        <v>641</v>
      </c>
      <c r="D109" s="449">
        <v>3.605</v>
      </c>
      <c r="E109" s="450">
        <v>0.41499999999999998</v>
      </c>
      <c r="F109" s="451">
        <v>0.28799999999999998</v>
      </c>
      <c r="G109" s="445">
        <v>0</v>
      </c>
      <c r="H109" s="445">
        <v>0</v>
      </c>
      <c r="I109" s="445">
        <v>0</v>
      </c>
      <c r="J109" s="446">
        <v>0</v>
      </c>
      <c r="K109" s="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row>
    <row r="110" spans="1:41" ht="35.049999999999997" customHeight="1" x14ac:dyDescent="0.3">
      <c r="A110" s="452" t="s">
        <v>696</v>
      </c>
      <c r="B110" s="453" t="s">
        <v>480</v>
      </c>
      <c r="C110" s="454" t="s">
        <v>719</v>
      </c>
      <c r="D110" s="441">
        <v>-1.677</v>
      </c>
      <c r="E110" s="442">
        <v>-0.247</v>
      </c>
      <c r="F110" s="443">
        <v>-0.05</v>
      </c>
      <c r="G110" s="445">
        <v>0</v>
      </c>
      <c r="H110" s="445">
        <v>0</v>
      </c>
      <c r="I110" s="445">
        <v>0</v>
      </c>
      <c r="J110" s="446">
        <v>0</v>
      </c>
      <c r="K110" s="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row>
    <row r="111" spans="1:41" ht="35.049999999999997" customHeight="1" x14ac:dyDescent="0.3">
      <c r="A111" s="452" t="s">
        <v>697</v>
      </c>
      <c r="B111" s="453" t="s">
        <v>480</v>
      </c>
      <c r="C111" s="454">
        <v>8</v>
      </c>
      <c r="D111" s="441">
        <v>-1.841</v>
      </c>
      <c r="E111" s="442">
        <v>-0.26800000000000002</v>
      </c>
      <c r="F111" s="443">
        <v>-5.3999999999999999E-2</v>
      </c>
      <c r="G111" s="445">
        <v>0</v>
      </c>
      <c r="H111" s="445">
        <v>0</v>
      </c>
      <c r="I111" s="445">
        <v>0</v>
      </c>
      <c r="J111" s="446">
        <v>0</v>
      </c>
      <c r="K111" s="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row>
    <row r="112" spans="1:41" ht="35.049999999999997" customHeight="1" x14ac:dyDescent="0.3">
      <c r="A112" s="452" t="s">
        <v>698</v>
      </c>
      <c r="B112" s="453" t="s">
        <v>480</v>
      </c>
      <c r="C112" s="454">
        <v>0</v>
      </c>
      <c r="D112" s="441">
        <v>-1.677</v>
      </c>
      <c r="E112" s="442">
        <v>-0.247</v>
      </c>
      <c r="F112" s="443">
        <v>-0.05</v>
      </c>
      <c r="G112" s="445">
        <v>0</v>
      </c>
      <c r="H112" s="445">
        <v>0</v>
      </c>
      <c r="I112" s="445">
        <v>0</v>
      </c>
      <c r="J112" s="448">
        <v>3.7999999999999999E-2</v>
      </c>
      <c r="K112" s="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row>
    <row r="113" spans="1:41" ht="35.049999999999997" customHeight="1" x14ac:dyDescent="0.3">
      <c r="A113" s="452" t="s">
        <v>699</v>
      </c>
      <c r="B113" s="453" t="s">
        <v>480</v>
      </c>
      <c r="C113" s="454">
        <v>0</v>
      </c>
      <c r="D113" s="441">
        <v>-1.841</v>
      </c>
      <c r="E113" s="442">
        <v>-0.26800000000000002</v>
      </c>
      <c r="F113" s="443">
        <v>-5.3999999999999999E-2</v>
      </c>
      <c r="G113" s="445">
        <v>0</v>
      </c>
      <c r="H113" s="445">
        <v>0</v>
      </c>
      <c r="I113" s="445">
        <v>0</v>
      </c>
      <c r="J113" s="448">
        <v>4.3999999999999997E-2</v>
      </c>
      <c r="K113" s="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row>
    <row r="114" spans="1:41" ht="35.049999999999997" customHeight="1" x14ac:dyDescent="0.3">
      <c r="A114" s="452" t="s">
        <v>700</v>
      </c>
      <c r="B114" s="453" t="s">
        <v>480</v>
      </c>
      <c r="C114" s="454">
        <v>0</v>
      </c>
      <c r="D114" s="441">
        <v>-2.1949999999999998</v>
      </c>
      <c r="E114" s="442">
        <v>-0.28199999999999997</v>
      </c>
      <c r="F114" s="443">
        <v>-5.2999999999999999E-2</v>
      </c>
      <c r="G114" s="455">
        <v>74.040000000000006</v>
      </c>
      <c r="H114" s="445">
        <v>0</v>
      </c>
      <c r="I114" s="445">
        <v>0</v>
      </c>
      <c r="J114" s="448">
        <v>6.3E-2</v>
      </c>
      <c r="K114" s="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row>
    <row r="115" spans="1:41" ht="35.049999999999997" customHeight="1" x14ac:dyDescent="0.3">
      <c r="A115" s="452" t="s">
        <v>864</v>
      </c>
      <c r="B115" s="453" t="s">
        <v>480</v>
      </c>
      <c r="C115" s="454" t="s">
        <v>639</v>
      </c>
      <c r="D115" s="441">
        <v>0.91</v>
      </c>
      <c r="E115" s="442">
        <v>0.13400000000000001</v>
      </c>
      <c r="F115" s="443">
        <v>2.7E-2</v>
      </c>
      <c r="G115" s="455">
        <v>2.4300000000000002</v>
      </c>
      <c r="H115" s="445">
        <v>0</v>
      </c>
      <c r="I115" s="445">
        <v>0</v>
      </c>
      <c r="J115" s="446">
        <v>0</v>
      </c>
      <c r="K115" s="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row>
    <row r="116" spans="1:41" ht="35.049999999999997" customHeight="1" x14ac:dyDescent="0.3">
      <c r="A116" s="452" t="s">
        <v>865</v>
      </c>
      <c r="B116" s="453" t="s">
        <v>480</v>
      </c>
      <c r="C116" s="454">
        <v>2</v>
      </c>
      <c r="D116" s="441">
        <v>0.91</v>
      </c>
      <c r="E116" s="442">
        <v>0.13400000000000001</v>
      </c>
      <c r="F116" s="443">
        <v>2.7E-2</v>
      </c>
      <c r="G116" s="445">
        <v>0</v>
      </c>
      <c r="H116" s="445">
        <v>0</v>
      </c>
      <c r="I116" s="445">
        <v>0</v>
      </c>
      <c r="J116" s="446">
        <v>0</v>
      </c>
      <c r="K116" s="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row>
    <row r="117" spans="1:41" ht="35.049999999999997" customHeight="1" x14ac:dyDescent="0.3">
      <c r="A117" s="452" t="s">
        <v>866</v>
      </c>
      <c r="B117" s="453" t="s">
        <v>480</v>
      </c>
      <c r="C117" s="454" t="s">
        <v>640</v>
      </c>
      <c r="D117" s="441">
        <v>0.98599999999999999</v>
      </c>
      <c r="E117" s="442">
        <v>0.14499999999999999</v>
      </c>
      <c r="F117" s="443">
        <v>2.9000000000000001E-2</v>
      </c>
      <c r="G117" s="455">
        <v>1.04</v>
      </c>
      <c r="H117" s="445">
        <v>0</v>
      </c>
      <c r="I117" s="445">
        <v>0</v>
      </c>
      <c r="J117" s="446">
        <v>0</v>
      </c>
    </row>
    <row r="118" spans="1:41" ht="35.049999999999997" customHeight="1" x14ac:dyDescent="0.3">
      <c r="A118" s="452" t="s">
        <v>867</v>
      </c>
      <c r="B118" s="453" t="s">
        <v>480</v>
      </c>
      <c r="C118" s="454" t="s">
        <v>640</v>
      </c>
      <c r="D118" s="441">
        <v>0.98599999999999999</v>
      </c>
      <c r="E118" s="442">
        <v>0.14499999999999999</v>
      </c>
      <c r="F118" s="443">
        <v>2.9000000000000001E-2</v>
      </c>
      <c r="G118" s="455">
        <v>1.68</v>
      </c>
      <c r="H118" s="445">
        <v>0</v>
      </c>
      <c r="I118" s="445">
        <v>0</v>
      </c>
      <c r="J118" s="446">
        <v>0</v>
      </c>
    </row>
    <row r="119" spans="1:41" ht="35.049999999999997" customHeight="1" x14ac:dyDescent="0.3">
      <c r="A119" s="452" t="s">
        <v>868</v>
      </c>
      <c r="B119" s="453" t="s">
        <v>480</v>
      </c>
      <c r="C119" s="454" t="s">
        <v>640</v>
      </c>
      <c r="D119" s="441">
        <v>0.98599999999999999</v>
      </c>
      <c r="E119" s="442">
        <v>0.14499999999999999</v>
      </c>
      <c r="F119" s="443">
        <v>2.9000000000000001E-2</v>
      </c>
      <c r="G119" s="455">
        <v>4.4400000000000004</v>
      </c>
      <c r="H119" s="445">
        <v>0</v>
      </c>
      <c r="I119" s="445">
        <v>0</v>
      </c>
      <c r="J119" s="446">
        <v>0</v>
      </c>
    </row>
    <row r="120" spans="1:41" ht="35.049999999999997" customHeight="1" x14ac:dyDescent="0.3">
      <c r="A120" s="452" t="s">
        <v>869</v>
      </c>
      <c r="B120" s="453" t="s">
        <v>480</v>
      </c>
      <c r="C120" s="454" t="s">
        <v>640</v>
      </c>
      <c r="D120" s="441">
        <v>0.98599999999999999</v>
      </c>
      <c r="E120" s="442">
        <v>0.14499999999999999</v>
      </c>
      <c r="F120" s="443">
        <v>2.9000000000000001E-2</v>
      </c>
      <c r="G120" s="455">
        <v>9.49</v>
      </c>
      <c r="H120" s="445">
        <v>0</v>
      </c>
      <c r="I120" s="445">
        <v>0</v>
      </c>
      <c r="J120" s="446">
        <v>0</v>
      </c>
    </row>
    <row r="121" spans="1:41" ht="35.049999999999997" customHeight="1" x14ac:dyDescent="0.3">
      <c r="A121" s="452" t="s">
        <v>870</v>
      </c>
      <c r="B121" s="453" t="s">
        <v>480</v>
      </c>
      <c r="C121" s="454" t="s">
        <v>640</v>
      </c>
      <c r="D121" s="441">
        <v>0.98599999999999999</v>
      </c>
      <c r="E121" s="442">
        <v>0.14499999999999999</v>
      </c>
      <c r="F121" s="443">
        <v>2.9000000000000001E-2</v>
      </c>
      <c r="G121" s="455">
        <v>26.62</v>
      </c>
      <c r="H121" s="445">
        <v>0</v>
      </c>
      <c r="I121" s="445">
        <v>0</v>
      </c>
      <c r="J121" s="446">
        <v>0</v>
      </c>
    </row>
    <row r="122" spans="1:41" ht="35.049999999999997" customHeight="1" x14ac:dyDescent="0.3">
      <c r="A122" s="452" t="s">
        <v>590</v>
      </c>
      <c r="B122" s="453" t="s">
        <v>480</v>
      </c>
      <c r="C122" s="454">
        <v>4</v>
      </c>
      <c r="D122" s="441">
        <v>0.98599999999999999</v>
      </c>
      <c r="E122" s="442">
        <v>0.14499999999999999</v>
      </c>
      <c r="F122" s="443">
        <v>2.9000000000000001E-2</v>
      </c>
      <c r="G122" s="445">
        <v>0</v>
      </c>
      <c r="H122" s="445">
        <v>0</v>
      </c>
      <c r="I122" s="445">
        <v>0</v>
      </c>
      <c r="J122" s="446">
        <v>0</v>
      </c>
    </row>
    <row r="123" spans="1:41" ht="35.049999999999997" customHeight="1" x14ac:dyDescent="0.3">
      <c r="A123" s="452" t="s">
        <v>871</v>
      </c>
      <c r="B123" s="453" t="s">
        <v>480</v>
      </c>
      <c r="C123" s="454">
        <v>0</v>
      </c>
      <c r="D123" s="441">
        <v>0.75</v>
      </c>
      <c r="E123" s="442">
        <v>0.107</v>
      </c>
      <c r="F123" s="443">
        <v>2.1000000000000001E-2</v>
      </c>
      <c r="G123" s="455">
        <v>1.93</v>
      </c>
      <c r="H123" s="455">
        <v>0.26</v>
      </c>
      <c r="I123" s="456">
        <v>0.56000000000000005</v>
      </c>
      <c r="J123" s="448">
        <v>1.9E-2</v>
      </c>
    </row>
    <row r="124" spans="1:41" ht="35.049999999999997" customHeight="1" x14ac:dyDescent="0.3">
      <c r="A124" s="452" t="s">
        <v>872</v>
      </c>
      <c r="B124" s="453" t="s">
        <v>480</v>
      </c>
      <c r="C124" s="454">
        <v>0</v>
      </c>
      <c r="D124" s="441">
        <v>0.75</v>
      </c>
      <c r="E124" s="442">
        <v>0.107</v>
      </c>
      <c r="F124" s="443">
        <v>2.1000000000000001E-2</v>
      </c>
      <c r="G124" s="455">
        <v>39.31</v>
      </c>
      <c r="H124" s="455">
        <v>0.26</v>
      </c>
      <c r="I124" s="456">
        <v>0.56000000000000005</v>
      </c>
      <c r="J124" s="448">
        <v>1.9E-2</v>
      </c>
    </row>
    <row r="125" spans="1:41" ht="35.049999999999997" customHeight="1" x14ac:dyDescent="0.3">
      <c r="A125" s="452" t="s">
        <v>873</v>
      </c>
      <c r="B125" s="453" t="s">
        <v>480</v>
      </c>
      <c r="C125" s="454">
        <v>0</v>
      </c>
      <c r="D125" s="441">
        <v>0.75</v>
      </c>
      <c r="E125" s="442">
        <v>0.107</v>
      </c>
      <c r="F125" s="443">
        <v>2.1000000000000001E-2</v>
      </c>
      <c r="G125" s="455">
        <v>86.81</v>
      </c>
      <c r="H125" s="455">
        <v>0.26</v>
      </c>
      <c r="I125" s="456">
        <v>0.56000000000000005</v>
      </c>
      <c r="J125" s="448">
        <v>1.9E-2</v>
      </c>
    </row>
    <row r="126" spans="1:41" ht="35.049999999999997" customHeight="1" x14ac:dyDescent="0.3">
      <c r="A126" s="452" t="s">
        <v>874</v>
      </c>
      <c r="B126" s="453" t="s">
        <v>480</v>
      </c>
      <c r="C126" s="454">
        <v>0</v>
      </c>
      <c r="D126" s="441">
        <v>0.75</v>
      </c>
      <c r="E126" s="442">
        <v>0.107</v>
      </c>
      <c r="F126" s="443">
        <v>2.1000000000000001E-2</v>
      </c>
      <c r="G126" s="455">
        <v>132.22999999999999</v>
      </c>
      <c r="H126" s="455">
        <v>0.26</v>
      </c>
      <c r="I126" s="456">
        <v>0.56000000000000005</v>
      </c>
      <c r="J126" s="448">
        <v>1.9E-2</v>
      </c>
    </row>
    <row r="127" spans="1:41" ht="35.049999999999997" customHeight="1" x14ac:dyDescent="0.3">
      <c r="A127" s="452" t="s">
        <v>875</v>
      </c>
      <c r="B127" s="453" t="s">
        <v>480</v>
      </c>
      <c r="C127" s="454">
        <v>0</v>
      </c>
      <c r="D127" s="441">
        <v>0.75</v>
      </c>
      <c r="E127" s="442">
        <v>0.107</v>
      </c>
      <c r="F127" s="443">
        <v>2.1000000000000001E-2</v>
      </c>
      <c r="G127" s="455">
        <v>338.05</v>
      </c>
      <c r="H127" s="455">
        <v>0.26</v>
      </c>
      <c r="I127" s="456">
        <v>0.56000000000000005</v>
      </c>
      <c r="J127" s="448">
        <v>1.9E-2</v>
      </c>
    </row>
    <row r="128" spans="1:41" ht="35.049999999999997" customHeight="1" x14ac:dyDescent="0.3">
      <c r="A128" s="452" t="s">
        <v>876</v>
      </c>
      <c r="B128" s="453" t="s">
        <v>480</v>
      </c>
      <c r="C128" s="454">
        <v>0</v>
      </c>
      <c r="D128" s="441">
        <v>0.78200000000000003</v>
      </c>
      <c r="E128" s="442">
        <v>0.10199999999999999</v>
      </c>
      <c r="F128" s="443">
        <v>1.9E-2</v>
      </c>
      <c r="G128" s="455">
        <v>3.14</v>
      </c>
      <c r="H128" s="455">
        <v>0.6</v>
      </c>
      <c r="I128" s="456">
        <v>0.93</v>
      </c>
      <c r="J128" s="448">
        <v>1.7999999999999999E-2</v>
      </c>
    </row>
    <row r="129" spans="1:10" ht="35.049999999999997" customHeight="1" x14ac:dyDescent="0.3">
      <c r="A129" s="452" t="s">
        <v>877</v>
      </c>
      <c r="B129" s="453" t="s">
        <v>480</v>
      </c>
      <c r="C129" s="454">
        <v>0</v>
      </c>
      <c r="D129" s="441">
        <v>0.78200000000000003</v>
      </c>
      <c r="E129" s="442">
        <v>0.10199999999999999</v>
      </c>
      <c r="F129" s="443">
        <v>1.9E-2</v>
      </c>
      <c r="G129" s="455">
        <v>65.53</v>
      </c>
      <c r="H129" s="455">
        <v>0.6</v>
      </c>
      <c r="I129" s="456">
        <v>0.93</v>
      </c>
      <c r="J129" s="448">
        <v>1.7999999999999999E-2</v>
      </c>
    </row>
    <row r="130" spans="1:10" ht="35.049999999999997" customHeight="1" x14ac:dyDescent="0.3">
      <c r="A130" s="452" t="s">
        <v>878</v>
      </c>
      <c r="B130" s="453" t="s">
        <v>480</v>
      </c>
      <c r="C130" s="454">
        <v>0</v>
      </c>
      <c r="D130" s="441">
        <v>0.78200000000000003</v>
      </c>
      <c r="E130" s="442">
        <v>0.10199999999999999</v>
      </c>
      <c r="F130" s="443">
        <v>1.9E-2</v>
      </c>
      <c r="G130" s="455">
        <v>144.81</v>
      </c>
      <c r="H130" s="455">
        <v>0.6</v>
      </c>
      <c r="I130" s="456">
        <v>0.93</v>
      </c>
      <c r="J130" s="448">
        <v>1.7999999999999999E-2</v>
      </c>
    </row>
    <row r="131" spans="1:10" ht="35.049999999999997" customHeight="1" x14ac:dyDescent="0.3">
      <c r="A131" s="452" t="s">
        <v>879</v>
      </c>
      <c r="B131" s="453" t="s">
        <v>480</v>
      </c>
      <c r="C131" s="454">
        <v>0</v>
      </c>
      <c r="D131" s="441">
        <v>0.78200000000000003</v>
      </c>
      <c r="E131" s="442">
        <v>0.10199999999999999</v>
      </c>
      <c r="F131" s="443">
        <v>1.9E-2</v>
      </c>
      <c r="G131" s="455">
        <v>220.63</v>
      </c>
      <c r="H131" s="455">
        <v>0.6</v>
      </c>
      <c r="I131" s="456">
        <v>0.93</v>
      </c>
      <c r="J131" s="448">
        <v>1.7999999999999999E-2</v>
      </c>
    </row>
    <row r="132" spans="1:10" ht="35.049999999999997" customHeight="1" x14ac:dyDescent="0.3">
      <c r="A132" s="452" t="s">
        <v>880</v>
      </c>
      <c r="B132" s="453" t="s">
        <v>480</v>
      </c>
      <c r="C132" s="454">
        <v>0</v>
      </c>
      <c r="D132" s="441">
        <v>0.78200000000000003</v>
      </c>
      <c r="E132" s="442">
        <v>0.10199999999999999</v>
      </c>
      <c r="F132" s="443">
        <v>1.9E-2</v>
      </c>
      <c r="G132" s="455">
        <v>564.16999999999996</v>
      </c>
      <c r="H132" s="455">
        <v>0.6</v>
      </c>
      <c r="I132" s="456">
        <v>0.93</v>
      </c>
      <c r="J132" s="448">
        <v>1.7999999999999999E-2</v>
      </c>
    </row>
    <row r="133" spans="1:10" ht="35.049999999999997" customHeight="1" x14ac:dyDescent="0.3">
      <c r="A133" s="452" t="s">
        <v>881</v>
      </c>
      <c r="B133" s="453" t="s">
        <v>480</v>
      </c>
      <c r="C133" s="454">
        <v>0</v>
      </c>
      <c r="D133" s="441">
        <v>0.73699999999999999</v>
      </c>
      <c r="E133" s="442">
        <v>8.5999999999999993E-2</v>
      </c>
      <c r="F133" s="443">
        <v>1.4999999999999999E-2</v>
      </c>
      <c r="G133" s="455">
        <v>44.04</v>
      </c>
      <c r="H133" s="455">
        <v>0.74</v>
      </c>
      <c r="I133" s="456">
        <v>1.25</v>
      </c>
      <c r="J133" s="448">
        <v>1.6E-2</v>
      </c>
    </row>
    <row r="134" spans="1:10" ht="35.049999999999997" customHeight="1" x14ac:dyDescent="0.3">
      <c r="A134" s="452" t="s">
        <v>882</v>
      </c>
      <c r="B134" s="453" t="s">
        <v>480</v>
      </c>
      <c r="C134" s="454">
        <v>0</v>
      </c>
      <c r="D134" s="441">
        <v>0.73699999999999999</v>
      </c>
      <c r="E134" s="442">
        <v>8.5999999999999993E-2</v>
      </c>
      <c r="F134" s="443">
        <v>1.4999999999999999E-2</v>
      </c>
      <c r="G134" s="455">
        <v>592.85</v>
      </c>
      <c r="H134" s="455">
        <v>0.74</v>
      </c>
      <c r="I134" s="456">
        <v>1.25</v>
      </c>
      <c r="J134" s="448">
        <v>1.6E-2</v>
      </c>
    </row>
    <row r="135" spans="1:10" ht="35.049999999999997" customHeight="1" x14ac:dyDescent="0.3">
      <c r="A135" s="452" t="s">
        <v>883</v>
      </c>
      <c r="B135" s="453" t="s">
        <v>480</v>
      </c>
      <c r="C135" s="454">
        <v>0</v>
      </c>
      <c r="D135" s="441">
        <v>0.73699999999999999</v>
      </c>
      <c r="E135" s="442">
        <v>8.5999999999999993E-2</v>
      </c>
      <c r="F135" s="443">
        <v>1.4999999999999999E-2</v>
      </c>
      <c r="G135" s="455">
        <v>1465.4</v>
      </c>
      <c r="H135" s="455">
        <v>0.74</v>
      </c>
      <c r="I135" s="456">
        <v>1.25</v>
      </c>
      <c r="J135" s="448">
        <v>1.6E-2</v>
      </c>
    </row>
    <row r="136" spans="1:10" ht="35.049999999999997" customHeight="1" x14ac:dyDescent="0.3">
      <c r="A136" s="452" t="s">
        <v>884</v>
      </c>
      <c r="B136" s="453" t="s">
        <v>480</v>
      </c>
      <c r="C136" s="454">
        <v>0</v>
      </c>
      <c r="D136" s="441">
        <v>0.73699999999999999</v>
      </c>
      <c r="E136" s="442">
        <v>8.5999999999999993E-2</v>
      </c>
      <c r="F136" s="443">
        <v>1.4999999999999999E-2</v>
      </c>
      <c r="G136" s="455">
        <v>2641.57</v>
      </c>
      <c r="H136" s="455">
        <v>0.74</v>
      </c>
      <c r="I136" s="456">
        <v>1.25</v>
      </c>
      <c r="J136" s="448">
        <v>1.6E-2</v>
      </c>
    </row>
    <row r="137" spans="1:10" ht="35.049999999999997" customHeight="1" x14ac:dyDescent="0.3">
      <c r="A137" s="452" t="s">
        <v>885</v>
      </c>
      <c r="B137" s="453" t="s">
        <v>480</v>
      </c>
      <c r="C137" s="454">
        <v>0</v>
      </c>
      <c r="D137" s="441">
        <v>0.73699999999999999</v>
      </c>
      <c r="E137" s="442">
        <v>8.5999999999999993E-2</v>
      </c>
      <c r="F137" s="443">
        <v>1.4999999999999999E-2</v>
      </c>
      <c r="G137" s="455">
        <v>6934.2</v>
      </c>
      <c r="H137" s="455">
        <v>0.74</v>
      </c>
      <c r="I137" s="456">
        <v>1.25</v>
      </c>
      <c r="J137" s="448">
        <v>1.6E-2</v>
      </c>
    </row>
    <row r="138" spans="1:10" ht="35.049999999999997" customHeight="1" x14ac:dyDescent="0.3">
      <c r="A138" s="452" t="s">
        <v>591</v>
      </c>
      <c r="B138" s="453" t="s">
        <v>480</v>
      </c>
      <c r="C138" s="454" t="s">
        <v>641</v>
      </c>
      <c r="D138" s="449">
        <v>2.3879999999999999</v>
      </c>
      <c r="E138" s="450">
        <v>0.27500000000000002</v>
      </c>
      <c r="F138" s="451">
        <v>0.191</v>
      </c>
      <c r="G138" s="445">
        <v>0</v>
      </c>
      <c r="H138" s="445">
        <v>0</v>
      </c>
      <c r="I138" s="445">
        <v>0</v>
      </c>
      <c r="J138" s="446">
        <v>0</v>
      </c>
    </row>
    <row r="139" spans="1:10" ht="35.049999999999997" customHeight="1" x14ac:dyDescent="0.3">
      <c r="A139" s="452" t="s">
        <v>701</v>
      </c>
      <c r="B139" s="453" t="s">
        <v>480</v>
      </c>
      <c r="C139" s="454" t="s">
        <v>719</v>
      </c>
      <c r="D139" s="441">
        <v>-1.111</v>
      </c>
      <c r="E139" s="442">
        <v>-0.16400000000000001</v>
      </c>
      <c r="F139" s="443">
        <v>-3.3000000000000002E-2</v>
      </c>
      <c r="G139" s="445">
        <v>0</v>
      </c>
      <c r="H139" s="445">
        <v>0</v>
      </c>
      <c r="I139" s="445">
        <v>0</v>
      </c>
      <c r="J139" s="446">
        <v>0</v>
      </c>
    </row>
    <row r="140" spans="1:10" ht="35.049999999999997" customHeight="1" x14ac:dyDescent="0.3">
      <c r="A140" s="452" t="s">
        <v>702</v>
      </c>
      <c r="B140" s="453" t="s">
        <v>480</v>
      </c>
      <c r="C140" s="454">
        <v>8</v>
      </c>
      <c r="D140" s="441">
        <v>-1.22</v>
      </c>
      <c r="E140" s="442">
        <v>-0.17699999999999999</v>
      </c>
      <c r="F140" s="443">
        <v>-3.5999999999999997E-2</v>
      </c>
      <c r="G140" s="445">
        <v>0</v>
      </c>
      <c r="H140" s="445">
        <v>0</v>
      </c>
      <c r="I140" s="445">
        <v>0</v>
      </c>
      <c r="J140" s="446">
        <v>0</v>
      </c>
    </row>
    <row r="141" spans="1:10" ht="35.049999999999997" customHeight="1" x14ac:dyDescent="0.3">
      <c r="A141" s="452" t="s">
        <v>703</v>
      </c>
      <c r="B141" s="453" t="s">
        <v>480</v>
      </c>
      <c r="C141" s="454">
        <v>0</v>
      </c>
      <c r="D141" s="441">
        <v>-1.111</v>
      </c>
      <c r="E141" s="442">
        <v>-0.16400000000000001</v>
      </c>
      <c r="F141" s="443">
        <v>-3.3000000000000002E-2</v>
      </c>
      <c r="G141" s="445">
        <v>0</v>
      </c>
      <c r="H141" s="445">
        <v>0</v>
      </c>
      <c r="I141" s="445">
        <v>0</v>
      </c>
      <c r="J141" s="448">
        <v>2.5000000000000001E-2</v>
      </c>
    </row>
    <row r="142" spans="1:10" ht="35.049999999999997" customHeight="1" x14ac:dyDescent="0.3">
      <c r="A142" s="452" t="s">
        <v>704</v>
      </c>
      <c r="B142" s="453" t="s">
        <v>480</v>
      </c>
      <c r="C142" s="454">
        <v>0</v>
      </c>
      <c r="D142" s="441">
        <v>-1.22</v>
      </c>
      <c r="E142" s="442">
        <v>-0.17699999999999999</v>
      </c>
      <c r="F142" s="443">
        <v>-3.5999999999999997E-2</v>
      </c>
      <c r="G142" s="445">
        <v>0</v>
      </c>
      <c r="H142" s="445">
        <v>0</v>
      </c>
      <c r="I142" s="445">
        <v>0</v>
      </c>
      <c r="J142" s="448">
        <v>2.9000000000000001E-2</v>
      </c>
    </row>
    <row r="143" spans="1:10" ht="35.049999999999997" customHeight="1" x14ac:dyDescent="0.3">
      <c r="A143" s="452" t="s">
        <v>705</v>
      </c>
      <c r="B143" s="453" t="s">
        <v>480</v>
      </c>
      <c r="C143" s="454">
        <v>0</v>
      </c>
      <c r="D143" s="441">
        <v>-1.454</v>
      </c>
      <c r="E143" s="442">
        <v>-0.187</v>
      </c>
      <c r="F143" s="443">
        <v>-3.5000000000000003E-2</v>
      </c>
      <c r="G143" s="455">
        <v>49.05</v>
      </c>
      <c r="H143" s="445">
        <v>0</v>
      </c>
      <c r="I143" s="445">
        <v>0</v>
      </c>
      <c r="J143" s="448">
        <v>4.1000000000000002E-2</v>
      </c>
    </row>
    <row r="144" spans="1:10" ht="35.049999999999997" customHeight="1" x14ac:dyDescent="0.3">
      <c r="A144" s="452" t="s">
        <v>886</v>
      </c>
      <c r="B144" s="453" t="s">
        <v>480</v>
      </c>
      <c r="C144" s="454" t="s">
        <v>639</v>
      </c>
      <c r="D144" s="441">
        <v>0.46200000000000002</v>
      </c>
      <c r="E144" s="442">
        <v>6.8000000000000005E-2</v>
      </c>
      <c r="F144" s="443">
        <v>1.4E-2</v>
      </c>
      <c r="G144" s="455">
        <v>1.35</v>
      </c>
      <c r="H144" s="445">
        <v>0</v>
      </c>
      <c r="I144" s="445">
        <v>0</v>
      </c>
      <c r="J144" s="446">
        <v>0</v>
      </c>
    </row>
    <row r="145" spans="1:10" ht="35.049999999999997" customHeight="1" x14ac:dyDescent="0.3">
      <c r="A145" s="452" t="s">
        <v>887</v>
      </c>
      <c r="B145" s="453" t="s">
        <v>480</v>
      </c>
      <c r="C145" s="454">
        <v>2</v>
      </c>
      <c r="D145" s="441">
        <v>0.46200000000000002</v>
      </c>
      <c r="E145" s="442">
        <v>6.8000000000000005E-2</v>
      </c>
      <c r="F145" s="443">
        <v>1.4E-2</v>
      </c>
      <c r="G145" s="445">
        <v>0</v>
      </c>
      <c r="H145" s="445">
        <v>0</v>
      </c>
      <c r="I145" s="445">
        <v>0</v>
      </c>
      <c r="J145" s="446">
        <v>0</v>
      </c>
    </row>
    <row r="146" spans="1:10" ht="35.049999999999997" customHeight="1" x14ac:dyDescent="0.3">
      <c r="A146" s="452" t="s">
        <v>888</v>
      </c>
      <c r="B146" s="453" t="s">
        <v>480</v>
      </c>
      <c r="C146" s="454" t="s">
        <v>640</v>
      </c>
      <c r="D146" s="441">
        <v>0.501</v>
      </c>
      <c r="E146" s="442">
        <v>7.3999999999999996E-2</v>
      </c>
      <c r="F146" s="443">
        <v>1.4999999999999999E-2</v>
      </c>
      <c r="G146" s="455">
        <v>0.59</v>
      </c>
      <c r="H146" s="445">
        <v>0</v>
      </c>
      <c r="I146" s="445">
        <v>0</v>
      </c>
      <c r="J146" s="446">
        <v>0</v>
      </c>
    </row>
    <row r="147" spans="1:10" ht="35.049999999999997" customHeight="1" x14ac:dyDescent="0.3">
      <c r="A147" s="452" t="s">
        <v>889</v>
      </c>
      <c r="B147" s="453" t="s">
        <v>480</v>
      </c>
      <c r="C147" s="454" t="s">
        <v>640</v>
      </c>
      <c r="D147" s="441">
        <v>0.501</v>
      </c>
      <c r="E147" s="442">
        <v>7.3999999999999996E-2</v>
      </c>
      <c r="F147" s="443">
        <v>1.4999999999999999E-2</v>
      </c>
      <c r="G147" s="455">
        <v>0.92</v>
      </c>
      <c r="H147" s="445">
        <v>0</v>
      </c>
      <c r="I147" s="445">
        <v>0</v>
      </c>
      <c r="J147" s="446">
        <v>0</v>
      </c>
    </row>
    <row r="148" spans="1:10" ht="35.049999999999997" customHeight="1" x14ac:dyDescent="0.3">
      <c r="A148" s="452" t="s">
        <v>890</v>
      </c>
      <c r="B148" s="453" t="s">
        <v>480</v>
      </c>
      <c r="C148" s="454" t="s">
        <v>640</v>
      </c>
      <c r="D148" s="441">
        <v>0.501</v>
      </c>
      <c r="E148" s="442">
        <v>7.3999999999999996E-2</v>
      </c>
      <c r="F148" s="443">
        <v>1.4999999999999999E-2</v>
      </c>
      <c r="G148" s="455">
        <v>2.3199999999999998</v>
      </c>
      <c r="H148" s="445">
        <v>0</v>
      </c>
      <c r="I148" s="445">
        <v>0</v>
      </c>
      <c r="J148" s="446">
        <v>0</v>
      </c>
    </row>
    <row r="149" spans="1:10" ht="35.049999999999997" customHeight="1" x14ac:dyDescent="0.3">
      <c r="A149" s="452" t="s">
        <v>891</v>
      </c>
      <c r="B149" s="453" t="s">
        <v>480</v>
      </c>
      <c r="C149" s="454" t="s">
        <v>640</v>
      </c>
      <c r="D149" s="441">
        <v>0.501</v>
      </c>
      <c r="E149" s="442">
        <v>7.3999999999999996E-2</v>
      </c>
      <c r="F149" s="443">
        <v>1.4999999999999999E-2</v>
      </c>
      <c r="G149" s="455">
        <v>4.8899999999999997</v>
      </c>
      <c r="H149" s="445">
        <v>0</v>
      </c>
      <c r="I149" s="445">
        <v>0</v>
      </c>
      <c r="J149" s="446">
        <v>0</v>
      </c>
    </row>
    <row r="150" spans="1:10" ht="35.049999999999997" customHeight="1" x14ac:dyDescent="0.3">
      <c r="A150" s="452" t="s">
        <v>892</v>
      </c>
      <c r="B150" s="453" t="s">
        <v>480</v>
      </c>
      <c r="C150" s="454" t="s">
        <v>640</v>
      </c>
      <c r="D150" s="441">
        <v>0.501</v>
      </c>
      <c r="E150" s="442">
        <v>7.3999999999999996E-2</v>
      </c>
      <c r="F150" s="443">
        <v>1.4999999999999999E-2</v>
      </c>
      <c r="G150" s="455">
        <v>13.59</v>
      </c>
      <c r="H150" s="445">
        <v>0</v>
      </c>
      <c r="I150" s="445">
        <v>0</v>
      </c>
      <c r="J150" s="446">
        <v>0</v>
      </c>
    </row>
    <row r="151" spans="1:10" ht="35.049999999999997" customHeight="1" x14ac:dyDescent="0.3">
      <c r="A151" s="452" t="s">
        <v>592</v>
      </c>
      <c r="B151" s="453" t="s">
        <v>480</v>
      </c>
      <c r="C151" s="454">
        <v>4</v>
      </c>
      <c r="D151" s="441">
        <v>0.501</v>
      </c>
      <c r="E151" s="442">
        <v>7.3999999999999996E-2</v>
      </c>
      <c r="F151" s="443">
        <v>1.4999999999999999E-2</v>
      </c>
      <c r="G151" s="445">
        <v>0</v>
      </c>
      <c r="H151" s="445">
        <v>0</v>
      </c>
      <c r="I151" s="445">
        <v>0</v>
      </c>
      <c r="J151" s="446">
        <v>0</v>
      </c>
    </row>
    <row r="152" spans="1:10" ht="35.049999999999997" customHeight="1" x14ac:dyDescent="0.3">
      <c r="A152" s="452" t="s">
        <v>893</v>
      </c>
      <c r="B152" s="453" t="s">
        <v>480</v>
      </c>
      <c r="C152" s="454">
        <v>0</v>
      </c>
      <c r="D152" s="441">
        <v>0.38100000000000001</v>
      </c>
      <c r="E152" s="442">
        <v>5.5E-2</v>
      </c>
      <c r="F152" s="443">
        <v>1.0999999999999999E-2</v>
      </c>
      <c r="G152" s="455">
        <v>1.05</v>
      </c>
      <c r="H152" s="455">
        <v>0.13</v>
      </c>
      <c r="I152" s="456">
        <v>0.28000000000000003</v>
      </c>
      <c r="J152" s="448">
        <v>8.9999999999999993E-3</v>
      </c>
    </row>
    <row r="153" spans="1:10" ht="35.049999999999997" customHeight="1" x14ac:dyDescent="0.3">
      <c r="A153" s="452" t="s">
        <v>894</v>
      </c>
      <c r="B153" s="453" t="s">
        <v>480</v>
      </c>
      <c r="C153" s="454">
        <v>0</v>
      </c>
      <c r="D153" s="441">
        <v>0.38100000000000001</v>
      </c>
      <c r="E153" s="442">
        <v>5.5E-2</v>
      </c>
      <c r="F153" s="443">
        <v>1.0999999999999999E-2</v>
      </c>
      <c r="G153" s="455">
        <v>20.04</v>
      </c>
      <c r="H153" s="455">
        <v>0.13</v>
      </c>
      <c r="I153" s="456">
        <v>0.28000000000000003</v>
      </c>
      <c r="J153" s="448">
        <v>8.9999999999999993E-3</v>
      </c>
    </row>
    <row r="154" spans="1:10" ht="35.049999999999997" customHeight="1" x14ac:dyDescent="0.3">
      <c r="A154" s="452" t="s">
        <v>895</v>
      </c>
      <c r="B154" s="453" t="s">
        <v>480</v>
      </c>
      <c r="C154" s="454">
        <v>0</v>
      </c>
      <c r="D154" s="441">
        <v>0.38100000000000001</v>
      </c>
      <c r="E154" s="442">
        <v>5.5E-2</v>
      </c>
      <c r="F154" s="443">
        <v>1.0999999999999999E-2</v>
      </c>
      <c r="G154" s="455">
        <v>44.17</v>
      </c>
      <c r="H154" s="455">
        <v>0.13</v>
      </c>
      <c r="I154" s="456">
        <v>0.28000000000000003</v>
      </c>
      <c r="J154" s="448">
        <v>8.9999999999999993E-3</v>
      </c>
    </row>
    <row r="155" spans="1:10" ht="35.049999999999997" customHeight="1" x14ac:dyDescent="0.3">
      <c r="A155" s="452" t="s">
        <v>896</v>
      </c>
      <c r="B155" s="453" t="s">
        <v>480</v>
      </c>
      <c r="C155" s="454">
        <v>0</v>
      </c>
      <c r="D155" s="441">
        <v>0.38100000000000001</v>
      </c>
      <c r="E155" s="442">
        <v>5.5E-2</v>
      </c>
      <c r="F155" s="443">
        <v>1.0999999999999999E-2</v>
      </c>
      <c r="G155" s="455">
        <v>67.25</v>
      </c>
      <c r="H155" s="455">
        <v>0.13</v>
      </c>
      <c r="I155" s="456">
        <v>0.28000000000000003</v>
      </c>
      <c r="J155" s="448">
        <v>8.9999999999999993E-3</v>
      </c>
    </row>
    <row r="156" spans="1:10" ht="35.049999999999997" customHeight="1" x14ac:dyDescent="0.3">
      <c r="A156" s="452" t="s">
        <v>897</v>
      </c>
      <c r="B156" s="453" t="s">
        <v>480</v>
      </c>
      <c r="C156" s="454">
        <v>0</v>
      </c>
      <c r="D156" s="441">
        <v>0.38100000000000001</v>
      </c>
      <c r="E156" s="442">
        <v>5.5E-2</v>
      </c>
      <c r="F156" s="443">
        <v>1.0999999999999999E-2</v>
      </c>
      <c r="G156" s="455">
        <v>171.83</v>
      </c>
      <c r="H156" s="455">
        <v>0.13</v>
      </c>
      <c r="I156" s="456">
        <v>0.28000000000000003</v>
      </c>
      <c r="J156" s="448">
        <v>8.9999999999999993E-3</v>
      </c>
    </row>
    <row r="157" spans="1:10" ht="35.049999999999997" customHeight="1" x14ac:dyDescent="0.3">
      <c r="A157" s="452" t="s">
        <v>898</v>
      </c>
      <c r="B157" s="453" t="s">
        <v>480</v>
      </c>
      <c r="C157" s="454">
        <v>0</v>
      </c>
      <c r="D157" s="441">
        <v>0.39700000000000002</v>
      </c>
      <c r="E157" s="442">
        <v>5.1999999999999998E-2</v>
      </c>
      <c r="F157" s="443">
        <v>0.01</v>
      </c>
      <c r="G157" s="455">
        <v>1.66</v>
      </c>
      <c r="H157" s="455">
        <v>0.3</v>
      </c>
      <c r="I157" s="456">
        <v>0.47</v>
      </c>
      <c r="J157" s="448">
        <v>8.9999999999999993E-3</v>
      </c>
    </row>
    <row r="158" spans="1:10" ht="35.049999999999997" customHeight="1" x14ac:dyDescent="0.3">
      <c r="A158" s="452" t="s">
        <v>899</v>
      </c>
      <c r="B158" s="453" t="s">
        <v>480</v>
      </c>
      <c r="C158" s="454">
        <v>0</v>
      </c>
      <c r="D158" s="441">
        <v>0.39700000000000002</v>
      </c>
      <c r="E158" s="442">
        <v>5.1999999999999998E-2</v>
      </c>
      <c r="F158" s="443">
        <v>0.01</v>
      </c>
      <c r="G158" s="455">
        <v>33.36</v>
      </c>
      <c r="H158" s="455">
        <v>0.3</v>
      </c>
      <c r="I158" s="456">
        <v>0.47</v>
      </c>
      <c r="J158" s="448">
        <v>8.9999999999999993E-3</v>
      </c>
    </row>
    <row r="159" spans="1:10" ht="35.049999999999997" customHeight="1" x14ac:dyDescent="0.3">
      <c r="A159" s="452" t="s">
        <v>900</v>
      </c>
      <c r="B159" s="453" t="s">
        <v>480</v>
      </c>
      <c r="C159" s="454">
        <v>0</v>
      </c>
      <c r="D159" s="441">
        <v>0.39700000000000002</v>
      </c>
      <c r="E159" s="442">
        <v>5.1999999999999998E-2</v>
      </c>
      <c r="F159" s="443">
        <v>0.01</v>
      </c>
      <c r="G159" s="455">
        <v>73.64</v>
      </c>
      <c r="H159" s="455">
        <v>0.3</v>
      </c>
      <c r="I159" s="456">
        <v>0.47</v>
      </c>
      <c r="J159" s="448">
        <v>8.9999999999999993E-3</v>
      </c>
    </row>
    <row r="160" spans="1:10" ht="35.049999999999997" customHeight="1" x14ac:dyDescent="0.3">
      <c r="A160" s="452" t="s">
        <v>901</v>
      </c>
      <c r="B160" s="453" t="s">
        <v>480</v>
      </c>
      <c r="C160" s="454">
        <v>0</v>
      </c>
      <c r="D160" s="441">
        <v>0.39700000000000002</v>
      </c>
      <c r="E160" s="442">
        <v>5.1999999999999998E-2</v>
      </c>
      <c r="F160" s="443">
        <v>0.01</v>
      </c>
      <c r="G160" s="455">
        <v>112.16</v>
      </c>
      <c r="H160" s="455">
        <v>0.3</v>
      </c>
      <c r="I160" s="456">
        <v>0.47</v>
      </c>
      <c r="J160" s="448">
        <v>8.9999999999999993E-3</v>
      </c>
    </row>
    <row r="161" spans="1:10" ht="35.049999999999997" customHeight="1" x14ac:dyDescent="0.3">
      <c r="A161" s="452" t="s">
        <v>902</v>
      </c>
      <c r="B161" s="453" t="s">
        <v>480</v>
      </c>
      <c r="C161" s="454">
        <v>0</v>
      </c>
      <c r="D161" s="441">
        <v>0.39700000000000002</v>
      </c>
      <c r="E161" s="442">
        <v>5.1999999999999998E-2</v>
      </c>
      <c r="F161" s="443">
        <v>0.01</v>
      </c>
      <c r="G161" s="455">
        <v>286.72000000000003</v>
      </c>
      <c r="H161" s="455">
        <v>0.3</v>
      </c>
      <c r="I161" s="456">
        <v>0.47</v>
      </c>
      <c r="J161" s="448">
        <v>8.9999999999999993E-3</v>
      </c>
    </row>
    <row r="162" spans="1:10" ht="35.049999999999997" customHeight="1" x14ac:dyDescent="0.3">
      <c r="A162" s="452" t="s">
        <v>903</v>
      </c>
      <c r="B162" s="453" t="s">
        <v>480</v>
      </c>
      <c r="C162" s="454">
        <v>0</v>
      </c>
      <c r="D162" s="441">
        <v>0.374</v>
      </c>
      <c r="E162" s="442">
        <v>4.3999999999999997E-2</v>
      </c>
      <c r="F162" s="443">
        <v>8.0000000000000002E-3</v>
      </c>
      <c r="G162" s="455">
        <v>22.44</v>
      </c>
      <c r="H162" s="455">
        <v>0.37</v>
      </c>
      <c r="I162" s="456">
        <v>0.63</v>
      </c>
      <c r="J162" s="448">
        <v>8.0000000000000002E-3</v>
      </c>
    </row>
    <row r="163" spans="1:10" ht="35.049999999999997" customHeight="1" x14ac:dyDescent="0.3">
      <c r="A163" s="452" t="s">
        <v>904</v>
      </c>
      <c r="B163" s="453" t="s">
        <v>480</v>
      </c>
      <c r="C163" s="454">
        <v>0</v>
      </c>
      <c r="D163" s="441">
        <v>0.374</v>
      </c>
      <c r="E163" s="442">
        <v>4.3999999999999997E-2</v>
      </c>
      <c r="F163" s="443">
        <v>8.0000000000000002E-3</v>
      </c>
      <c r="G163" s="455">
        <v>301.29000000000002</v>
      </c>
      <c r="H163" s="455">
        <v>0.37</v>
      </c>
      <c r="I163" s="456">
        <v>0.63</v>
      </c>
      <c r="J163" s="448">
        <v>8.0000000000000002E-3</v>
      </c>
    </row>
    <row r="164" spans="1:10" ht="35.049999999999997" customHeight="1" x14ac:dyDescent="0.3">
      <c r="A164" s="452" t="s">
        <v>905</v>
      </c>
      <c r="B164" s="453" t="s">
        <v>480</v>
      </c>
      <c r="C164" s="454">
        <v>0</v>
      </c>
      <c r="D164" s="441">
        <v>0.374</v>
      </c>
      <c r="E164" s="442">
        <v>4.3999999999999997E-2</v>
      </c>
      <c r="F164" s="443">
        <v>8.0000000000000002E-3</v>
      </c>
      <c r="G164" s="455">
        <v>744.62</v>
      </c>
      <c r="H164" s="455">
        <v>0.37</v>
      </c>
      <c r="I164" s="456">
        <v>0.63</v>
      </c>
      <c r="J164" s="448">
        <v>8.0000000000000002E-3</v>
      </c>
    </row>
    <row r="165" spans="1:10" ht="35.049999999999997" customHeight="1" x14ac:dyDescent="0.3">
      <c r="A165" s="452" t="s">
        <v>906</v>
      </c>
      <c r="B165" s="453" t="s">
        <v>480</v>
      </c>
      <c r="C165" s="454">
        <v>0</v>
      </c>
      <c r="D165" s="441">
        <v>0.374</v>
      </c>
      <c r="E165" s="442">
        <v>4.3999999999999997E-2</v>
      </c>
      <c r="F165" s="443">
        <v>8.0000000000000002E-3</v>
      </c>
      <c r="G165" s="455">
        <v>1342.23</v>
      </c>
      <c r="H165" s="455">
        <v>0.37</v>
      </c>
      <c r="I165" s="456">
        <v>0.63</v>
      </c>
      <c r="J165" s="448">
        <v>8.0000000000000002E-3</v>
      </c>
    </row>
    <row r="166" spans="1:10" ht="35.049999999999997" customHeight="1" x14ac:dyDescent="0.3">
      <c r="A166" s="452" t="s">
        <v>907</v>
      </c>
      <c r="B166" s="453" t="s">
        <v>480</v>
      </c>
      <c r="C166" s="454">
        <v>0</v>
      </c>
      <c r="D166" s="441">
        <v>0.374</v>
      </c>
      <c r="E166" s="442">
        <v>4.3999999999999997E-2</v>
      </c>
      <c r="F166" s="443">
        <v>8.0000000000000002E-3</v>
      </c>
      <c r="G166" s="455">
        <v>3523.28</v>
      </c>
      <c r="H166" s="455">
        <v>0.37</v>
      </c>
      <c r="I166" s="456">
        <v>0.63</v>
      </c>
      <c r="J166" s="448">
        <v>8.0000000000000002E-3</v>
      </c>
    </row>
    <row r="167" spans="1:10" ht="35.049999999999997" customHeight="1" x14ac:dyDescent="0.3">
      <c r="A167" s="452" t="s">
        <v>593</v>
      </c>
      <c r="B167" s="453" t="s">
        <v>480</v>
      </c>
      <c r="C167" s="454" t="s">
        <v>641</v>
      </c>
      <c r="D167" s="449">
        <v>1.2130000000000001</v>
      </c>
      <c r="E167" s="450">
        <v>0.14000000000000001</v>
      </c>
      <c r="F167" s="451">
        <v>9.7000000000000003E-2</v>
      </c>
      <c r="G167" s="445">
        <v>0</v>
      </c>
      <c r="H167" s="445">
        <v>0</v>
      </c>
      <c r="I167" s="445">
        <v>0</v>
      </c>
      <c r="J167" s="446">
        <v>0</v>
      </c>
    </row>
    <row r="168" spans="1:10" ht="35.049999999999997" customHeight="1" x14ac:dyDescent="0.3">
      <c r="A168" s="452" t="s">
        <v>706</v>
      </c>
      <c r="B168" s="453" t="s">
        <v>480</v>
      </c>
      <c r="C168" s="454" t="s">
        <v>719</v>
      </c>
      <c r="D168" s="441">
        <v>-0.56399999999999995</v>
      </c>
      <c r="E168" s="442">
        <v>-8.3000000000000004E-2</v>
      </c>
      <c r="F168" s="443">
        <v>-1.7000000000000001E-2</v>
      </c>
      <c r="G168" s="445">
        <v>0</v>
      </c>
      <c r="H168" s="445">
        <v>0</v>
      </c>
      <c r="I168" s="445">
        <v>0</v>
      </c>
      <c r="J168" s="446">
        <v>0</v>
      </c>
    </row>
    <row r="169" spans="1:10" ht="35.049999999999997" customHeight="1" x14ac:dyDescent="0.3">
      <c r="A169" s="452" t="s">
        <v>707</v>
      </c>
      <c r="B169" s="453" t="s">
        <v>480</v>
      </c>
      <c r="C169" s="454">
        <v>8</v>
      </c>
      <c r="D169" s="441">
        <v>-0.62</v>
      </c>
      <c r="E169" s="442">
        <v>-0.09</v>
      </c>
      <c r="F169" s="443">
        <v>-1.7999999999999999E-2</v>
      </c>
      <c r="G169" s="445">
        <v>0</v>
      </c>
      <c r="H169" s="445">
        <v>0</v>
      </c>
      <c r="I169" s="445">
        <v>0</v>
      </c>
      <c r="J169" s="446">
        <v>0</v>
      </c>
    </row>
    <row r="170" spans="1:10" ht="35.049999999999997" customHeight="1" x14ac:dyDescent="0.3">
      <c r="A170" s="452" t="s">
        <v>708</v>
      </c>
      <c r="B170" s="453" t="s">
        <v>480</v>
      </c>
      <c r="C170" s="454">
        <v>0</v>
      </c>
      <c r="D170" s="441">
        <v>-0.56399999999999995</v>
      </c>
      <c r="E170" s="442">
        <v>-8.3000000000000004E-2</v>
      </c>
      <c r="F170" s="443">
        <v>-1.7000000000000001E-2</v>
      </c>
      <c r="G170" s="445">
        <v>0</v>
      </c>
      <c r="H170" s="445">
        <v>0</v>
      </c>
      <c r="I170" s="445">
        <v>0</v>
      </c>
      <c r="J170" s="448">
        <v>1.2999999999999999E-2</v>
      </c>
    </row>
    <row r="171" spans="1:10" ht="35.049999999999997" customHeight="1" x14ac:dyDescent="0.3">
      <c r="A171" s="452" t="s">
        <v>709</v>
      </c>
      <c r="B171" s="453" t="s">
        <v>480</v>
      </c>
      <c r="C171" s="454">
        <v>0</v>
      </c>
      <c r="D171" s="441">
        <v>-0.62</v>
      </c>
      <c r="E171" s="442">
        <v>-0.09</v>
      </c>
      <c r="F171" s="443">
        <v>-1.7999999999999999E-2</v>
      </c>
      <c r="G171" s="445">
        <v>0</v>
      </c>
      <c r="H171" s="445">
        <v>0</v>
      </c>
      <c r="I171" s="445">
        <v>0</v>
      </c>
      <c r="J171" s="448">
        <v>1.4999999999999999E-2</v>
      </c>
    </row>
    <row r="172" spans="1:10" ht="35.049999999999997" customHeight="1" x14ac:dyDescent="0.3">
      <c r="A172" s="452" t="s">
        <v>710</v>
      </c>
      <c r="B172" s="453" t="s">
        <v>480</v>
      </c>
      <c r="C172" s="454">
        <v>0</v>
      </c>
      <c r="D172" s="441">
        <v>-0.73899999999999999</v>
      </c>
      <c r="E172" s="442">
        <v>-9.5000000000000001E-2</v>
      </c>
      <c r="F172" s="443">
        <v>-1.7999999999999999E-2</v>
      </c>
      <c r="G172" s="455">
        <v>24.92</v>
      </c>
      <c r="H172" s="445">
        <v>0</v>
      </c>
      <c r="I172" s="445">
        <v>0</v>
      </c>
      <c r="J172" s="448">
        <v>2.1000000000000001E-2</v>
      </c>
    </row>
    <row r="173" spans="1:10" ht="35.049999999999997" customHeight="1" x14ac:dyDescent="0.3">
      <c r="A173" s="452" t="s">
        <v>908</v>
      </c>
      <c r="B173" s="453" t="s">
        <v>480</v>
      </c>
      <c r="C173" s="454" t="s">
        <v>639</v>
      </c>
      <c r="D173" s="441">
        <v>0.14499999999999999</v>
      </c>
      <c r="E173" s="442">
        <v>2.1000000000000001E-2</v>
      </c>
      <c r="F173" s="443">
        <v>4.0000000000000001E-3</v>
      </c>
      <c r="G173" s="455">
        <v>0.57999999999999996</v>
      </c>
      <c r="H173" s="445">
        <v>0</v>
      </c>
      <c r="I173" s="445">
        <v>0</v>
      </c>
      <c r="J173" s="446">
        <v>0</v>
      </c>
    </row>
    <row r="174" spans="1:10" ht="35.049999999999997" customHeight="1" x14ac:dyDescent="0.3">
      <c r="A174" s="452" t="s">
        <v>909</v>
      </c>
      <c r="B174" s="453" t="s">
        <v>480</v>
      </c>
      <c r="C174" s="454">
        <v>2</v>
      </c>
      <c r="D174" s="441">
        <v>0.14499999999999999</v>
      </c>
      <c r="E174" s="442">
        <v>2.1000000000000001E-2</v>
      </c>
      <c r="F174" s="443">
        <v>4.0000000000000001E-3</v>
      </c>
      <c r="G174" s="445">
        <v>0</v>
      </c>
      <c r="H174" s="445">
        <v>0</v>
      </c>
      <c r="I174" s="445">
        <v>0</v>
      </c>
      <c r="J174" s="446">
        <v>0</v>
      </c>
    </row>
    <row r="175" spans="1:10" ht="35.049999999999997" customHeight="1" x14ac:dyDescent="0.3">
      <c r="A175" s="452" t="s">
        <v>910</v>
      </c>
      <c r="B175" s="453" t="s">
        <v>480</v>
      </c>
      <c r="C175" s="454" t="s">
        <v>640</v>
      </c>
      <c r="D175" s="441">
        <v>0.157</v>
      </c>
      <c r="E175" s="442">
        <v>2.3E-2</v>
      </c>
      <c r="F175" s="443">
        <v>5.0000000000000001E-3</v>
      </c>
      <c r="G175" s="455">
        <v>0.28000000000000003</v>
      </c>
      <c r="H175" s="445">
        <v>0</v>
      </c>
      <c r="I175" s="445">
        <v>0</v>
      </c>
      <c r="J175" s="446">
        <v>0</v>
      </c>
    </row>
    <row r="176" spans="1:10" ht="35.049999999999997" customHeight="1" x14ac:dyDescent="0.3">
      <c r="A176" s="452" t="s">
        <v>911</v>
      </c>
      <c r="B176" s="453" t="s">
        <v>480</v>
      </c>
      <c r="C176" s="454" t="s">
        <v>640</v>
      </c>
      <c r="D176" s="441">
        <v>0.157</v>
      </c>
      <c r="E176" s="442">
        <v>2.3E-2</v>
      </c>
      <c r="F176" s="443">
        <v>5.0000000000000001E-3</v>
      </c>
      <c r="G176" s="455">
        <v>0.38</v>
      </c>
      <c r="H176" s="445">
        <v>0</v>
      </c>
      <c r="I176" s="445">
        <v>0</v>
      </c>
      <c r="J176" s="446">
        <v>0</v>
      </c>
    </row>
    <row r="177" spans="1:10" ht="35.049999999999997" customHeight="1" x14ac:dyDescent="0.3">
      <c r="A177" s="452" t="s">
        <v>912</v>
      </c>
      <c r="B177" s="453" t="s">
        <v>480</v>
      </c>
      <c r="C177" s="454" t="s">
        <v>640</v>
      </c>
      <c r="D177" s="441">
        <v>0.157</v>
      </c>
      <c r="E177" s="442">
        <v>2.3E-2</v>
      </c>
      <c r="F177" s="443">
        <v>5.0000000000000001E-3</v>
      </c>
      <c r="G177" s="455">
        <v>0.82</v>
      </c>
      <c r="H177" s="445">
        <v>0</v>
      </c>
      <c r="I177" s="445">
        <v>0</v>
      </c>
      <c r="J177" s="446">
        <v>0</v>
      </c>
    </row>
    <row r="178" spans="1:10" ht="35.049999999999997" customHeight="1" x14ac:dyDescent="0.3">
      <c r="A178" s="452" t="s">
        <v>913</v>
      </c>
      <c r="B178" s="453" t="s">
        <v>480</v>
      </c>
      <c r="C178" s="454" t="s">
        <v>640</v>
      </c>
      <c r="D178" s="441">
        <v>0.157</v>
      </c>
      <c r="E178" s="442">
        <v>2.3E-2</v>
      </c>
      <c r="F178" s="443">
        <v>5.0000000000000001E-3</v>
      </c>
      <c r="G178" s="455">
        <v>1.62</v>
      </c>
      <c r="H178" s="445">
        <v>0</v>
      </c>
      <c r="I178" s="445">
        <v>0</v>
      </c>
      <c r="J178" s="446">
        <v>0</v>
      </c>
    </row>
    <row r="179" spans="1:10" ht="35.049999999999997" customHeight="1" x14ac:dyDescent="0.3">
      <c r="A179" s="452" t="s">
        <v>914</v>
      </c>
      <c r="B179" s="453" t="s">
        <v>480</v>
      </c>
      <c r="C179" s="454" t="s">
        <v>640</v>
      </c>
      <c r="D179" s="441">
        <v>0.157</v>
      </c>
      <c r="E179" s="442">
        <v>2.3E-2</v>
      </c>
      <c r="F179" s="443">
        <v>5.0000000000000001E-3</v>
      </c>
      <c r="G179" s="455">
        <v>4.3499999999999996</v>
      </c>
      <c r="H179" s="445">
        <v>0</v>
      </c>
      <c r="I179" s="445">
        <v>0</v>
      </c>
      <c r="J179" s="446">
        <v>0</v>
      </c>
    </row>
    <row r="180" spans="1:10" ht="35.049999999999997" customHeight="1" x14ac:dyDescent="0.3">
      <c r="A180" s="452" t="s">
        <v>594</v>
      </c>
      <c r="B180" s="453" t="s">
        <v>480</v>
      </c>
      <c r="C180" s="454">
        <v>4</v>
      </c>
      <c r="D180" s="441">
        <v>0.157</v>
      </c>
      <c r="E180" s="442">
        <v>2.3E-2</v>
      </c>
      <c r="F180" s="443">
        <v>5.0000000000000001E-3</v>
      </c>
      <c r="G180" s="445">
        <v>0</v>
      </c>
      <c r="H180" s="445">
        <v>0</v>
      </c>
      <c r="I180" s="445">
        <v>0</v>
      </c>
      <c r="J180" s="446">
        <v>0</v>
      </c>
    </row>
    <row r="181" spans="1:10" ht="35.049999999999997" customHeight="1" x14ac:dyDescent="0.3">
      <c r="A181" s="452" t="s">
        <v>915</v>
      </c>
      <c r="B181" s="453" t="s">
        <v>480</v>
      </c>
      <c r="C181" s="454">
        <v>0</v>
      </c>
      <c r="D181" s="441">
        <v>0.12</v>
      </c>
      <c r="E181" s="442">
        <v>1.7000000000000001E-2</v>
      </c>
      <c r="F181" s="443">
        <v>3.0000000000000001E-3</v>
      </c>
      <c r="G181" s="455">
        <v>0.42</v>
      </c>
      <c r="H181" s="455">
        <v>0.04</v>
      </c>
      <c r="I181" s="456">
        <v>0.09</v>
      </c>
      <c r="J181" s="448">
        <v>3.0000000000000001E-3</v>
      </c>
    </row>
    <row r="182" spans="1:10" ht="35.049999999999997" customHeight="1" x14ac:dyDescent="0.3">
      <c r="A182" s="452" t="s">
        <v>916</v>
      </c>
      <c r="B182" s="453" t="s">
        <v>480</v>
      </c>
      <c r="C182" s="454">
        <v>0</v>
      </c>
      <c r="D182" s="441">
        <v>0.12</v>
      </c>
      <c r="E182" s="442">
        <v>1.7000000000000001E-2</v>
      </c>
      <c r="F182" s="443">
        <v>3.0000000000000001E-3</v>
      </c>
      <c r="G182" s="455">
        <v>6.38</v>
      </c>
      <c r="H182" s="455">
        <v>0.04</v>
      </c>
      <c r="I182" s="456">
        <v>0.09</v>
      </c>
      <c r="J182" s="448">
        <v>3.0000000000000001E-3</v>
      </c>
    </row>
    <row r="183" spans="1:10" ht="35.049999999999997" customHeight="1" x14ac:dyDescent="0.3">
      <c r="A183" s="452" t="s">
        <v>917</v>
      </c>
      <c r="B183" s="453" t="s">
        <v>480</v>
      </c>
      <c r="C183" s="454">
        <v>0</v>
      </c>
      <c r="D183" s="441">
        <v>0.12</v>
      </c>
      <c r="E183" s="442">
        <v>1.7000000000000001E-2</v>
      </c>
      <c r="F183" s="443">
        <v>3.0000000000000001E-3</v>
      </c>
      <c r="G183" s="455">
        <v>13.95</v>
      </c>
      <c r="H183" s="455">
        <v>0.04</v>
      </c>
      <c r="I183" s="456">
        <v>0.09</v>
      </c>
      <c r="J183" s="448">
        <v>3.0000000000000001E-3</v>
      </c>
    </row>
    <row r="184" spans="1:10" ht="35.049999999999997" customHeight="1" x14ac:dyDescent="0.3">
      <c r="A184" s="452" t="s">
        <v>918</v>
      </c>
      <c r="B184" s="453" t="s">
        <v>480</v>
      </c>
      <c r="C184" s="454">
        <v>0</v>
      </c>
      <c r="D184" s="441">
        <v>0.12</v>
      </c>
      <c r="E184" s="442">
        <v>1.7000000000000001E-2</v>
      </c>
      <c r="F184" s="443">
        <v>3.0000000000000001E-3</v>
      </c>
      <c r="G184" s="455">
        <v>21.2</v>
      </c>
      <c r="H184" s="455">
        <v>0.04</v>
      </c>
      <c r="I184" s="456">
        <v>0.09</v>
      </c>
      <c r="J184" s="448">
        <v>3.0000000000000001E-3</v>
      </c>
    </row>
    <row r="185" spans="1:10" ht="35.049999999999997" customHeight="1" x14ac:dyDescent="0.3">
      <c r="A185" s="452" t="s">
        <v>919</v>
      </c>
      <c r="B185" s="453" t="s">
        <v>480</v>
      </c>
      <c r="C185" s="454">
        <v>0</v>
      </c>
      <c r="D185" s="441">
        <v>0.12</v>
      </c>
      <c r="E185" s="442">
        <v>1.7000000000000001E-2</v>
      </c>
      <c r="F185" s="443">
        <v>3.0000000000000001E-3</v>
      </c>
      <c r="G185" s="455">
        <v>54.02</v>
      </c>
      <c r="H185" s="455">
        <v>0.04</v>
      </c>
      <c r="I185" s="456">
        <v>0.09</v>
      </c>
      <c r="J185" s="448">
        <v>3.0000000000000001E-3</v>
      </c>
    </row>
    <row r="186" spans="1:10" ht="35.049999999999997" customHeight="1" x14ac:dyDescent="0.3">
      <c r="A186" s="452" t="s">
        <v>920</v>
      </c>
      <c r="B186" s="453" t="s">
        <v>480</v>
      </c>
      <c r="C186" s="454">
        <v>0</v>
      </c>
      <c r="D186" s="441">
        <v>0.125</v>
      </c>
      <c r="E186" s="442">
        <v>1.6E-2</v>
      </c>
      <c r="F186" s="443">
        <v>3.0000000000000001E-3</v>
      </c>
      <c r="G186" s="455">
        <v>0.61</v>
      </c>
      <c r="H186" s="455">
        <v>0.1</v>
      </c>
      <c r="I186" s="456">
        <v>0.15</v>
      </c>
      <c r="J186" s="448">
        <v>3.0000000000000001E-3</v>
      </c>
    </row>
    <row r="187" spans="1:10" ht="35.049999999999997" customHeight="1" x14ac:dyDescent="0.3">
      <c r="A187" s="452" t="s">
        <v>921</v>
      </c>
      <c r="B187" s="453" t="s">
        <v>480</v>
      </c>
      <c r="C187" s="454">
        <v>0</v>
      </c>
      <c r="D187" s="441">
        <v>0.125</v>
      </c>
      <c r="E187" s="442">
        <v>1.6E-2</v>
      </c>
      <c r="F187" s="443">
        <v>3.0000000000000001E-3</v>
      </c>
      <c r="G187" s="455">
        <v>10.56</v>
      </c>
      <c r="H187" s="455">
        <v>0.1</v>
      </c>
      <c r="I187" s="456">
        <v>0.15</v>
      </c>
      <c r="J187" s="448">
        <v>3.0000000000000001E-3</v>
      </c>
    </row>
    <row r="188" spans="1:10" ht="35.049999999999997" customHeight="1" x14ac:dyDescent="0.3">
      <c r="A188" s="452" t="s">
        <v>922</v>
      </c>
      <c r="B188" s="453" t="s">
        <v>480</v>
      </c>
      <c r="C188" s="454">
        <v>0</v>
      </c>
      <c r="D188" s="441">
        <v>0.125</v>
      </c>
      <c r="E188" s="442">
        <v>1.6E-2</v>
      </c>
      <c r="F188" s="443">
        <v>3.0000000000000001E-3</v>
      </c>
      <c r="G188" s="455">
        <v>23.2</v>
      </c>
      <c r="H188" s="455">
        <v>0.1</v>
      </c>
      <c r="I188" s="456">
        <v>0.15</v>
      </c>
      <c r="J188" s="448">
        <v>3.0000000000000001E-3</v>
      </c>
    </row>
    <row r="189" spans="1:10" ht="35.049999999999997" customHeight="1" x14ac:dyDescent="0.3">
      <c r="A189" s="452" t="s">
        <v>923</v>
      </c>
      <c r="B189" s="453" t="s">
        <v>480</v>
      </c>
      <c r="C189" s="454">
        <v>0</v>
      </c>
      <c r="D189" s="441">
        <v>0.125</v>
      </c>
      <c r="E189" s="442">
        <v>1.6E-2</v>
      </c>
      <c r="F189" s="443">
        <v>3.0000000000000001E-3</v>
      </c>
      <c r="G189" s="455">
        <v>35.29</v>
      </c>
      <c r="H189" s="455">
        <v>0.1</v>
      </c>
      <c r="I189" s="456">
        <v>0.15</v>
      </c>
      <c r="J189" s="448">
        <v>3.0000000000000001E-3</v>
      </c>
    </row>
    <row r="190" spans="1:10" ht="35.049999999999997" customHeight="1" x14ac:dyDescent="0.3">
      <c r="A190" s="452" t="s">
        <v>924</v>
      </c>
      <c r="B190" s="453" t="s">
        <v>480</v>
      </c>
      <c r="C190" s="454">
        <v>0</v>
      </c>
      <c r="D190" s="441">
        <v>0.125</v>
      </c>
      <c r="E190" s="442">
        <v>1.6E-2</v>
      </c>
      <c r="F190" s="443">
        <v>3.0000000000000001E-3</v>
      </c>
      <c r="G190" s="455">
        <v>90.07</v>
      </c>
      <c r="H190" s="455">
        <v>0.1</v>
      </c>
      <c r="I190" s="456">
        <v>0.15</v>
      </c>
      <c r="J190" s="448">
        <v>3.0000000000000001E-3</v>
      </c>
    </row>
    <row r="191" spans="1:10" ht="35.049999999999997" customHeight="1" x14ac:dyDescent="0.3">
      <c r="A191" s="452" t="s">
        <v>925</v>
      </c>
      <c r="B191" s="453" t="s">
        <v>480</v>
      </c>
      <c r="C191" s="454">
        <v>0</v>
      </c>
      <c r="D191" s="441">
        <v>0.11799999999999999</v>
      </c>
      <c r="E191" s="442">
        <v>1.4E-2</v>
      </c>
      <c r="F191" s="443">
        <v>2E-3</v>
      </c>
      <c r="G191" s="455">
        <v>7.13</v>
      </c>
      <c r="H191" s="455">
        <v>0.12</v>
      </c>
      <c r="I191" s="456">
        <v>0.2</v>
      </c>
      <c r="J191" s="448">
        <v>3.0000000000000001E-3</v>
      </c>
    </row>
    <row r="192" spans="1:10" ht="35.049999999999997" customHeight="1" x14ac:dyDescent="0.3">
      <c r="A192" s="452" t="s">
        <v>926</v>
      </c>
      <c r="B192" s="453" t="s">
        <v>480</v>
      </c>
      <c r="C192" s="454">
        <v>0</v>
      </c>
      <c r="D192" s="441">
        <v>0.11799999999999999</v>
      </c>
      <c r="E192" s="442">
        <v>1.4E-2</v>
      </c>
      <c r="F192" s="443">
        <v>2E-3</v>
      </c>
      <c r="G192" s="455">
        <v>94.65</v>
      </c>
      <c r="H192" s="455">
        <v>0.12</v>
      </c>
      <c r="I192" s="456">
        <v>0.2</v>
      </c>
      <c r="J192" s="448">
        <v>3.0000000000000001E-3</v>
      </c>
    </row>
    <row r="193" spans="1:10" ht="35.049999999999997" customHeight="1" x14ac:dyDescent="0.3">
      <c r="A193" s="452" t="s">
        <v>927</v>
      </c>
      <c r="B193" s="453" t="s">
        <v>480</v>
      </c>
      <c r="C193" s="454">
        <v>0</v>
      </c>
      <c r="D193" s="441">
        <v>0.11799999999999999</v>
      </c>
      <c r="E193" s="442">
        <v>1.4E-2</v>
      </c>
      <c r="F193" s="443">
        <v>2E-3</v>
      </c>
      <c r="G193" s="455">
        <v>233.78</v>
      </c>
      <c r="H193" s="455">
        <v>0.12</v>
      </c>
      <c r="I193" s="456">
        <v>0.2</v>
      </c>
      <c r="J193" s="448">
        <v>3.0000000000000001E-3</v>
      </c>
    </row>
    <row r="194" spans="1:10" ht="35.049999999999997" customHeight="1" x14ac:dyDescent="0.3">
      <c r="A194" s="452" t="s">
        <v>928</v>
      </c>
      <c r="B194" s="453" t="s">
        <v>480</v>
      </c>
      <c r="C194" s="454">
        <v>0</v>
      </c>
      <c r="D194" s="441">
        <v>0.11799999999999999</v>
      </c>
      <c r="E194" s="442">
        <v>1.4E-2</v>
      </c>
      <c r="F194" s="443">
        <v>2E-3</v>
      </c>
      <c r="G194" s="455">
        <v>421.34</v>
      </c>
      <c r="H194" s="455">
        <v>0.12</v>
      </c>
      <c r="I194" s="456">
        <v>0.2</v>
      </c>
      <c r="J194" s="448">
        <v>3.0000000000000001E-3</v>
      </c>
    </row>
    <row r="195" spans="1:10" ht="35.049999999999997" customHeight="1" x14ac:dyDescent="0.3">
      <c r="A195" s="452" t="s">
        <v>929</v>
      </c>
      <c r="B195" s="453" t="s">
        <v>480</v>
      </c>
      <c r="C195" s="454">
        <v>0</v>
      </c>
      <c r="D195" s="441">
        <v>0.11799999999999999</v>
      </c>
      <c r="E195" s="442">
        <v>1.4E-2</v>
      </c>
      <c r="F195" s="443">
        <v>2E-3</v>
      </c>
      <c r="G195" s="455">
        <v>1105.8499999999999</v>
      </c>
      <c r="H195" s="455">
        <v>0.12</v>
      </c>
      <c r="I195" s="456">
        <v>0.2</v>
      </c>
      <c r="J195" s="448">
        <v>3.0000000000000001E-3</v>
      </c>
    </row>
    <row r="196" spans="1:10" ht="35.049999999999997" customHeight="1" x14ac:dyDescent="0.3">
      <c r="A196" s="452" t="s">
        <v>595</v>
      </c>
      <c r="B196" s="453" t="s">
        <v>480</v>
      </c>
      <c r="C196" s="454" t="s">
        <v>641</v>
      </c>
      <c r="D196" s="449">
        <v>0.38100000000000001</v>
      </c>
      <c r="E196" s="450">
        <v>4.3999999999999997E-2</v>
      </c>
      <c r="F196" s="451">
        <v>0.03</v>
      </c>
      <c r="G196" s="445">
        <v>0</v>
      </c>
      <c r="H196" s="445">
        <v>0</v>
      </c>
      <c r="I196" s="445">
        <v>0</v>
      </c>
      <c r="J196" s="446">
        <v>0</v>
      </c>
    </row>
    <row r="197" spans="1:10" ht="35.049999999999997" customHeight="1" x14ac:dyDescent="0.3">
      <c r="A197" s="452" t="s">
        <v>711</v>
      </c>
      <c r="B197" s="453" t="s">
        <v>480</v>
      </c>
      <c r="C197" s="454" t="s">
        <v>719</v>
      </c>
      <c r="D197" s="441">
        <v>-0.17699999999999999</v>
      </c>
      <c r="E197" s="442">
        <v>-2.5999999999999999E-2</v>
      </c>
      <c r="F197" s="443">
        <v>-5.0000000000000001E-3</v>
      </c>
      <c r="G197" s="445">
        <v>0</v>
      </c>
      <c r="H197" s="445">
        <v>0</v>
      </c>
      <c r="I197" s="445">
        <v>0</v>
      </c>
      <c r="J197" s="446">
        <v>0</v>
      </c>
    </row>
    <row r="198" spans="1:10" ht="35.049999999999997" customHeight="1" x14ac:dyDescent="0.3">
      <c r="A198" s="452" t="s">
        <v>712</v>
      </c>
      <c r="B198" s="453" t="s">
        <v>480</v>
      </c>
      <c r="C198" s="454">
        <v>8</v>
      </c>
      <c r="D198" s="441">
        <v>-0.19400000000000001</v>
      </c>
      <c r="E198" s="442">
        <v>-2.8000000000000001E-2</v>
      </c>
      <c r="F198" s="443">
        <v>-6.0000000000000001E-3</v>
      </c>
      <c r="G198" s="445">
        <v>0</v>
      </c>
      <c r="H198" s="445">
        <v>0</v>
      </c>
      <c r="I198" s="445">
        <v>0</v>
      </c>
      <c r="J198" s="446">
        <v>0</v>
      </c>
    </row>
    <row r="199" spans="1:10" ht="35.049999999999997" customHeight="1" x14ac:dyDescent="0.3">
      <c r="A199" s="452" t="s">
        <v>713</v>
      </c>
      <c r="B199" s="453" t="s">
        <v>480</v>
      </c>
      <c r="C199" s="454">
        <v>0</v>
      </c>
      <c r="D199" s="441">
        <v>-0.17699999999999999</v>
      </c>
      <c r="E199" s="442">
        <v>-2.5999999999999999E-2</v>
      </c>
      <c r="F199" s="443">
        <v>-5.0000000000000001E-3</v>
      </c>
      <c r="G199" s="445">
        <v>0</v>
      </c>
      <c r="H199" s="445">
        <v>0</v>
      </c>
      <c r="I199" s="445">
        <v>0</v>
      </c>
      <c r="J199" s="448">
        <v>4.0000000000000001E-3</v>
      </c>
    </row>
    <row r="200" spans="1:10" ht="35.049999999999997" customHeight="1" x14ac:dyDescent="0.3">
      <c r="A200" s="452" t="s">
        <v>714</v>
      </c>
      <c r="B200" s="453" t="s">
        <v>480</v>
      </c>
      <c r="C200" s="454">
        <v>0</v>
      </c>
      <c r="D200" s="441">
        <v>-0.19400000000000001</v>
      </c>
      <c r="E200" s="442">
        <v>-2.8000000000000001E-2</v>
      </c>
      <c r="F200" s="443">
        <v>-6.0000000000000001E-3</v>
      </c>
      <c r="G200" s="445">
        <v>0</v>
      </c>
      <c r="H200" s="445">
        <v>0</v>
      </c>
      <c r="I200" s="445">
        <v>0</v>
      </c>
      <c r="J200" s="448">
        <v>5.0000000000000001E-3</v>
      </c>
    </row>
    <row r="201" spans="1:10" ht="35.049999999999997" customHeight="1" x14ac:dyDescent="0.3">
      <c r="A201" s="452" t="s">
        <v>715</v>
      </c>
      <c r="B201" s="453" t="s">
        <v>480</v>
      </c>
      <c r="C201" s="454">
        <v>0</v>
      </c>
      <c r="D201" s="441">
        <v>-0.23200000000000001</v>
      </c>
      <c r="E201" s="442">
        <v>-0.03</v>
      </c>
      <c r="F201" s="443">
        <v>-6.0000000000000001E-3</v>
      </c>
      <c r="G201" s="455">
        <v>7.82</v>
      </c>
      <c r="H201" s="445">
        <v>0</v>
      </c>
      <c r="I201" s="445">
        <v>0</v>
      </c>
      <c r="J201" s="448">
        <v>7.0000000000000001E-3</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3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Header>&amp;L&amp;"Trebuchet MS,Regular"
&amp;"Trebuchet MS,Bold"Annex 4&amp;"Trebuchet MS,Regular" - Charges applied to LDNOs with HV/LV end users</oddHeader>
    <firstHeader>&amp;L&amp;"Trebuchet MS,Bold"
Annex 4&amp;"Trebuchet MS,Regular" - Charges applied to LDNOs with HV/LV end users</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pageSetUpPr fitToPage="1"/>
  </sheetPr>
  <dimension ref="A1:M201"/>
  <sheetViews>
    <sheetView zoomScale="50" zoomScaleNormal="50" workbookViewId="0">
      <selection activeCell="C10" sqref="C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0" t="s">
        <v>19</v>
      </c>
      <c r="B1" s="3"/>
      <c r="C1" s="3"/>
      <c r="D1" s="3"/>
      <c r="F1" s="3"/>
      <c r="G1" s="3"/>
      <c r="H1" s="3"/>
      <c r="I1" s="3"/>
      <c r="J1" s="1"/>
      <c r="K1" s="1"/>
    </row>
    <row r="2" spans="1:13" ht="40" customHeight="1" x14ac:dyDescent="0.3">
      <c r="A2" s="612" t="str">
        <f>Overview!B4&amp;" - Effective from "&amp;Overview!D4&amp;" - Final LDNO tariffs in Electricity North West Area (GSP Group_G)"</f>
        <v>Indigo Power Limited - Effective from 1 April 2023 - Final LDNO tariffs in Electricity North West Area (GSP Group_G)</v>
      </c>
      <c r="B2" s="612"/>
      <c r="C2" s="612"/>
      <c r="D2" s="612"/>
      <c r="E2" s="612"/>
      <c r="F2" s="612"/>
      <c r="G2" s="612"/>
      <c r="H2" s="612"/>
      <c r="I2" s="612"/>
      <c r="J2" s="612"/>
    </row>
    <row r="3" spans="1:13" ht="40" customHeight="1" x14ac:dyDescent="0.3">
      <c r="A3" s="48"/>
      <c r="B3" s="48"/>
      <c r="C3" s="48"/>
      <c r="D3" s="48"/>
      <c r="E3" s="48"/>
      <c r="F3" s="48"/>
      <c r="G3" s="48"/>
      <c r="H3" s="48"/>
      <c r="I3" s="48"/>
      <c r="J3" s="48"/>
    </row>
    <row r="4" spans="1:13" ht="40" customHeight="1" x14ac:dyDescent="0.3">
      <c r="A4" s="553" t="s">
        <v>308</v>
      </c>
      <c r="B4" s="554"/>
      <c r="C4" s="554"/>
      <c r="D4" s="555"/>
      <c r="E4" s="52"/>
      <c r="F4" s="553" t="s">
        <v>307</v>
      </c>
      <c r="G4" s="554"/>
      <c r="H4" s="554"/>
      <c r="I4" s="554"/>
      <c r="J4" s="555"/>
      <c r="L4" s="3"/>
    </row>
    <row r="5" spans="1:13" ht="40" customHeight="1" x14ac:dyDescent="0.3">
      <c r="A5" s="468" t="s">
        <v>13</v>
      </c>
      <c r="B5" s="281" t="s">
        <v>299</v>
      </c>
      <c r="C5" s="286" t="s">
        <v>300</v>
      </c>
      <c r="D5" s="42" t="s">
        <v>301</v>
      </c>
      <c r="E5" s="45"/>
      <c r="F5" s="549"/>
      <c r="G5" s="550"/>
      <c r="H5" s="43" t="s">
        <v>305</v>
      </c>
      <c r="I5" s="44" t="s">
        <v>306</v>
      </c>
      <c r="J5" s="42" t="s">
        <v>301</v>
      </c>
      <c r="K5" s="45"/>
      <c r="L5" s="3"/>
      <c r="M5" s="3"/>
    </row>
    <row r="6" spans="1:13" ht="40" customHeight="1" x14ac:dyDescent="0.3">
      <c r="A6" s="105" t="str">
        <f>'Annex 1 LV and HV charges_G'!A6</f>
        <v>Monday to Friday 
(Including Bank Holidays)
All Year</v>
      </c>
      <c r="B6" s="279" t="str">
        <f>'Annex 1 LV and HV charges_G'!B6</f>
        <v>16:00 to 19:00</v>
      </c>
      <c r="C6" s="279" t="str">
        <f>'Annex 1 LV and HV charges_G'!C6</f>
        <v>09:00 to 16:00
19:00 to 20:30</v>
      </c>
      <c r="D6" s="279" t="str">
        <f>'Annex 1 LV and HV charges_G'!E6</f>
        <v>00.00 - 09.00
20.30 - 24.00</v>
      </c>
      <c r="E6" s="45"/>
      <c r="F6" s="537" t="str">
        <f>'Annex 1 LV and HV charges_G'!G6</f>
        <v>Monday to Friday 
(Including Bank Holidays)
March to October Inclusive</v>
      </c>
      <c r="G6" s="538" t="str">
        <f>'Annex 1 LV and HV charges_G'!H6</f>
        <v/>
      </c>
      <c r="H6" s="274" t="str">
        <f>'Annex 1 LV and HV charges_G'!I6</f>
        <v/>
      </c>
      <c r="I6" s="279" t="str">
        <f>'Annex 1 LV and HV charges_G'!J6</f>
        <v>09.00 - 20.30</v>
      </c>
      <c r="J6" s="86" t="str">
        <f>'Annex 1 LV and HV charges_G'!K6</f>
        <v>00.00 - 09.00
20.30 - 24.00</v>
      </c>
      <c r="K6" s="45"/>
      <c r="L6" s="3"/>
      <c r="M6" s="3"/>
    </row>
    <row r="7" spans="1:13" ht="40" customHeight="1" x14ac:dyDescent="0.3">
      <c r="A7" s="105" t="str">
        <f>'Annex 1 LV and HV charges_G'!A7</f>
        <v>Saturday and Sunday
All Year</v>
      </c>
      <c r="B7" s="274" t="str">
        <f>'Annex 1 LV and HV charges_G'!B7</f>
        <v/>
      </c>
      <c r="C7" s="279" t="str">
        <f>'Annex 1 LV and HV charges_G'!C7</f>
        <v>16:00 to 19:00</v>
      </c>
      <c r="D7" s="279" t="str">
        <f>'Annex 1 LV and HV charges_G'!E7</f>
        <v>00.00 - 16.00
19.00 - 24.00</v>
      </c>
      <c r="E7" s="45"/>
      <c r="F7" s="537" t="str">
        <f>'Annex 1 LV and HV charges_G'!G7</f>
        <v>Monday to Friday 
(Including Bank Holidays)
November to February Inclusive</v>
      </c>
      <c r="G7" s="538" t="str">
        <f>'Annex 1 LV and HV charges_G'!H7</f>
        <v/>
      </c>
      <c r="H7" s="13" t="str">
        <f>'Annex 1 LV and HV charges_G'!I7</f>
        <v>16:00 to 19:00</v>
      </c>
      <c r="I7" s="279" t="str">
        <f>'Annex 1 LV and HV charges_G'!J7</f>
        <v>09:00 - 16.00
19.00 - 20.30</v>
      </c>
      <c r="J7" s="86" t="str">
        <f>'Annex 1 LV and HV charges_G'!K7</f>
        <v>00.00 - 09.00
20.30 - 24.00</v>
      </c>
      <c r="K7" s="45"/>
      <c r="L7" s="3"/>
      <c r="M7" s="3"/>
    </row>
    <row r="8" spans="1:13" ht="40" customHeight="1" x14ac:dyDescent="0.3">
      <c r="A8" s="465" t="str">
        <f>'Annex 1 LV and HV charges_G'!A8</f>
        <v>Notes</v>
      </c>
      <c r="B8" s="537" t="str">
        <f>'Annex 1 LV and HV charges_G'!B8</f>
        <v>All the above times are in UK Clock time</v>
      </c>
      <c r="C8" s="546" t="str">
        <f>'Annex 1 LV and HV charges_G'!C8</f>
        <v/>
      </c>
      <c r="D8" s="538" t="str">
        <f>'Annex 1 LV and HV charges_G'!D8</f>
        <v/>
      </c>
      <c r="E8" s="45"/>
      <c r="F8" s="537" t="str">
        <f>'Annex 1 LV and HV charges_G'!G8</f>
        <v>Saturday and Sunday
All year</v>
      </c>
      <c r="G8" s="538" t="str">
        <f>'Annex 1 LV and HV charges_G'!H8</f>
        <v/>
      </c>
      <c r="H8" s="274" t="str">
        <f>'Annex 1 LV and HV charges_G'!I8</f>
        <v/>
      </c>
      <c r="I8" s="13" t="str">
        <f>'Annex 1 LV and HV charges_G'!J8</f>
        <v>16:00 to 19:00</v>
      </c>
      <c r="J8" s="86" t="str">
        <f>'Annex 1 LV and HV charges_G'!K8</f>
        <v>00.00 - 16.00
19.00 - 24.00</v>
      </c>
      <c r="K8" s="45"/>
      <c r="L8" s="3"/>
      <c r="M8" s="3"/>
    </row>
    <row r="9" spans="1:13" s="47" customFormat="1" ht="40" customHeight="1" x14ac:dyDescent="0.3">
      <c r="B9" s="45"/>
      <c r="C9" s="45"/>
      <c r="D9" s="45"/>
      <c r="E9" s="49"/>
      <c r="F9" s="537" t="str">
        <f>'Annex 1 LV and HV charges_G'!A8</f>
        <v>Notes</v>
      </c>
      <c r="G9" s="538" t="e">
        <f>'Annex 1 LV and HV charges_G'!#REF!</f>
        <v>#REF!</v>
      </c>
      <c r="H9" s="537" t="str">
        <f>'Annex 1 LV and HV charges_G'!B8</f>
        <v>All the above times are in UK Clock time</v>
      </c>
      <c r="I9" s="546" t="e">
        <f>'Annex 1 LV and HV charges_G'!#REF!</f>
        <v>#REF!</v>
      </c>
      <c r="J9" s="538" t="e">
        <f>'Annex 1 LV and HV charges_G'!#REF!</f>
        <v>#REF!</v>
      </c>
      <c r="K9" s="46"/>
      <c r="L9" s="46"/>
    </row>
    <row r="10" spans="1:13" s="47" customFormat="1" ht="40" customHeight="1" x14ac:dyDescent="0.3">
      <c r="A10" s="45"/>
      <c r="B10" s="45"/>
      <c r="C10" s="518" t="s">
        <v>480</v>
      </c>
      <c r="D10" s="45"/>
      <c r="E10" s="45"/>
      <c r="F10" s="50"/>
      <c r="G10" s="50"/>
      <c r="H10" s="51"/>
      <c r="I10" s="51"/>
      <c r="J10" s="51"/>
      <c r="K10" s="46"/>
      <c r="L10" s="46"/>
    </row>
    <row r="11" spans="1:13" ht="75" customHeight="1" x14ac:dyDescent="0.3">
      <c r="A11" s="18" t="s">
        <v>455</v>
      </c>
      <c r="B11" s="18" t="s">
        <v>31</v>
      </c>
      <c r="C11" s="433" t="s">
        <v>24</v>
      </c>
      <c r="D11" s="374" t="s">
        <v>579</v>
      </c>
      <c r="E11" s="374" t="s">
        <v>580</v>
      </c>
      <c r="F11" s="374" t="s">
        <v>581</v>
      </c>
      <c r="G11" s="433" t="s">
        <v>25</v>
      </c>
      <c r="H11" s="433" t="s">
        <v>26</v>
      </c>
      <c r="I11" s="433" t="s">
        <v>456</v>
      </c>
      <c r="J11" s="433" t="s">
        <v>270</v>
      </c>
      <c r="K11" s="1"/>
    </row>
    <row r="12" spans="1:13" ht="35.049999999999997" customHeight="1" x14ac:dyDescent="0.3">
      <c r="A12" s="398" t="s">
        <v>786</v>
      </c>
      <c r="B12" s="17" t="s">
        <v>480</v>
      </c>
      <c r="C12" s="405" t="s">
        <v>647</v>
      </c>
      <c r="D12" s="501">
        <v>6.6840000000000002</v>
      </c>
      <c r="E12" s="502">
        <v>1.39</v>
      </c>
      <c r="F12" s="503">
        <v>0.124</v>
      </c>
      <c r="G12" s="508">
        <v>10.68</v>
      </c>
      <c r="H12" s="509"/>
      <c r="I12" s="399"/>
      <c r="J12" s="500"/>
      <c r="K12" s="1"/>
    </row>
    <row r="13" spans="1:13" ht="35.049999999999997" customHeight="1" x14ac:dyDescent="0.3">
      <c r="A13" s="398" t="s">
        <v>787</v>
      </c>
      <c r="B13" s="17" t="s">
        <v>480</v>
      </c>
      <c r="C13" s="405" t="s">
        <v>575</v>
      </c>
      <c r="D13" s="501">
        <v>6.6840000000000002</v>
      </c>
      <c r="E13" s="502">
        <v>1.39</v>
      </c>
      <c r="F13" s="503">
        <v>0.124</v>
      </c>
      <c r="G13" s="509"/>
      <c r="H13" s="509"/>
      <c r="I13" s="399"/>
      <c r="J13" s="500"/>
      <c r="K13" s="1"/>
    </row>
    <row r="14" spans="1:13" ht="35.049999999999997" customHeight="1" x14ac:dyDescent="0.3">
      <c r="A14" s="398" t="s">
        <v>788</v>
      </c>
      <c r="B14" s="17" t="s">
        <v>480</v>
      </c>
      <c r="C14" s="405" t="s">
        <v>648</v>
      </c>
      <c r="D14" s="501">
        <v>6.7910000000000004</v>
      </c>
      <c r="E14" s="502">
        <v>1.413</v>
      </c>
      <c r="F14" s="503">
        <v>0.126</v>
      </c>
      <c r="G14" s="508">
        <v>3.7</v>
      </c>
      <c r="H14" s="509"/>
      <c r="I14" s="399"/>
      <c r="J14" s="500"/>
      <c r="K14" s="1"/>
    </row>
    <row r="15" spans="1:13" ht="35.049999999999997" customHeight="1" x14ac:dyDescent="0.3">
      <c r="A15" s="398" t="s">
        <v>789</v>
      </c>
      <c r="B15" s="17" t="s">
        <v>480</v>
      </c>
      <c r="C15" s="405" t="s">
        <v>648</v>
      </c>
      <c r="D15" s="501">
        <v>6.7910000000000004</v>
      </c>
      <c r="E15" s="502">
        <v>1.413</v>
      </c>
      <c r="F15" s="503">
        <v>0.126</v>
      </c>
      <c r="G15" s="508">
        <v>5.72</v>
      </c>
      <c r="H15" s="509"/>
      <c r="I15" s="399"/>
      <c r="J15" s="500"/>
      <c r="K15" s="1"/>
    </row>
    <row r="16" spans="1:13" ht="35.049999999999997" customHeight="1" x14ac:dyDescent="0.3">
      <c r="A16" s="398" t="s">
        <v>790</v>
      </c>
      <c r="B16" s="17" t="s">
        <v>480</v>
      </c>
      <c r="C16" s="405" t="s">
        <v>648</v>
      </c>
      <c r="D16" s="501">
        <v>6.7910000000000004</v>
      </c>
      <c r="E16" s="502">
        <v>1.413</v>
      </c>
      <c r="F16" s="503">
        <v>0.126</v>
      </c>
      <c r="G16" s="508">
        <v>13.67</v>
      </c>
      <c r="H16" s="509"/>
      <c r="I16" s="399"/>
      <c r="J16" s="500"/>
      <c r="K16" s="1"/>
    </row>
    <row r="17" spans="1:11" ht="35.049999999999997" customHeight="1" x14ac:dyDescent="0.3">
      <c r="A17" s="398" t="s">
        <v>791</v>
      </c>
      <c r="B17" s="17" t="s">
        <v>480</v>
      </c>
      <c r="C17" s="405" t="s">
        <v>648</v>
      </c>
      <c r="D17" s="501">
        <v>6.7910000000000004</v>
      </c>
      <c r="E17" s="502">
        <v>1.413</v>
      </c>
      <c r="F17" s="503">
        <v>0.126</v>
      </c>
      <c r="G17" s="508">
        <v>28.41</v>
      </c>
      <c r="H17" s="509"/>
      <c r="I17" s="399"/>
      <c r="J17" s="500"/>
      <c r="K17" s="1"/>
    </row>
    <row r="18" spans="1:11" ht="35.049999999999997" customHeight="1" x14ac:dyDescent="0.3">
      <c r="A18" s="398" t="s">
        <v>792</v>
      </c>
      <c r="B18" s="17" t="s">
        <v>480</v>
      </c>
      <c r="C18" s="405" t="s">
        <v>648</v>
      </c>
      <c r="D18" s="501">
        <v>6.7910000000000004</v>
      </c>
      <c r="E18" s="502">
        <v>1.413</v>
      </c>
      <c r="F18" s="503">
        <v>0.126</v>
      </c>
      <c r="G18" s="508">
        <v>80.64</v>
      </c>
      <c r="H18" s="509"/>
      <c r="I18" s="399"/>
      <c r="J18" s="500"/>
      <c r="K18" s="1"/>
    </row>
    <row r="19" spans="1:11" ht="35.049999999999997" customHeight="1" x14ac:dyDescent="0.3">
      <c r="A19" s="398" t="s">
        <v>582</v>
      </c>
      <c r="B19" s="17" t="s">
        <v>480</v>
      </c>
      <c r="C19" s="405" t="s">
        <v>577</v>
      </c>
      <c r="D19" s="501">
        <v>6.7910000000000004</v>
      </c>
      <c r="E19" s="502">
        <v>1.413</v>
      </c>
      <c r="F19" s="503">
        <v>0.126</v>
      </c>
      <c r="G19" s="509"/>
      <c r="H19" s="509"/>
      <c r="I19" s="399"/>
      <c r="J19" s="500"/>
      <c r="K19" s="1"/>
    </row>
    <row r="20" spans="1:11" ht="35.049999999999997" customHeight="1" x14ac:dyDescent="0.3">
      <c r="A20" s="398" t="s">
        <v>793</v>
      </c>
      <c r="B20" s="17" t="s">
        <v>480</v>
      </c>
      <c r="C20" s="405" t="s">
        <v>596</v>
      </c>
      <c r="D20" s="501">
        <v>4.8550000000000004</v>
      </c>
      <c r="E20" s="502">
        <v>0.93200000000000005</v>
      </c>
      <c r="F20" s="503">
        <v>8.5000000000000006E-2</v>
      </c>
      <c r="G20" s="508">
        <v>14.72</v>
      </c>
      <c r="H20" s="508">
        <v>2.42</v>
      </c>
      <c r="I20" s="400">
        <v>3.56</v>
      </c>
      <c r="J20" s="499">
        <v>9.7000000000000003E-2</v>
      </c>
      <c r="K20" s="1"/>
    </row>
    <row r="21" spans="1:11" ht="35.049999999999997" customHeight="1" x14ac:dyDescent="0.3">
      <c r="A21" s="398" t="s">
        <v>794</v>
      </c>
      <c r="B21" s="17" t="s">
        <v>480</v>
      </c>
      <c r="C21" s="405">
        <v>0</v>
      </c>
      <c r="D21" s="501">
        <v>4.8550000000000004</v>
      </c>
      <c r="E21" s="502">
        <v>0.93200000000000005</v>
      </c>
      <c r="F21" s="503">
        <v>8.5000000000000006E-2</v>
      </c>
      <c r="G21" s="508">
        <v>115.88</v>
      </c>
      <c r="H21" s="508">
        <v>2.42</v>
      </c>
      <c r="I21" s="400">
        <v>3.56</v>
      </c>
      <c r="J21" s="499">
        <v>9.7000000000000003E-2</v>
      </c>
      <c r="K21" s="1"/>
    </row>
    <row r="22" spans="1:11" ht="35.049999999999997" customHeight="1" x14ac:dyDescent="0.3">
      <c r="A22" s="398" t="s">
        <v>795</v>
      </c>
      <c r="B22" s="17" t="s">
        <v>480</v>
      </c>
      <c r="C22" s="405">
        <v>0</v>
      </c>
      <c r="D22" s="501">
        <v>4.8550000000000004</v>
      </c>
      <c r="E22" s="502">
        <v>0.93200000000000005</v>
      </c>
      <c r="F22" s="503">
        <v>8.5000000000000006E-2</v>
      </c>
      <c r="G22" s="508">
        <v>266.95999999999998</v>
      </c>
      <c r="H22" s="508">
        <v>2.42</v>
      </c>
      <c r="I22" s="400">
        <v>3.56</v>
      </c>
      <c r="J22" s="499">
        <v>9.7000000000000003E-2</v>
      </c>
      <c r="K22" s="1"/>
    </row>
    <row r="23" spans="1:11" ht="35.049999999999997" customHeight="1" x14ac:dyDescent="0.3">
      <c r="A23" s="398" t="s">
        <v>796</v>
      </c>
      <c r="B23" s="17" t="s">
        <v>480</v>
      </c>
      <c r="C23" s="405">
        <v>0</v>
      </c>
      <c r="D23" s="501">
        <v>4.8550000000000004</v>
      </c>
      <c r="E23" s="502">
        <v>0.93200000000000005</v>
      </c>
      <c r="F23" s="503">
        <v>8.5000000000000006E-2</v>
      </c>
      <c r="G23" s="508">
        <v>426.14</v>
      </c>
      <c r="H23" s="508">
        <v>2.42</v>
      </c>
      <c r="I23" s="400">
        <v>3.56</v>
      </c>
      <c r="J23" s="499">
        <v>9.7000000000000003E-2</v>
      </c>
      <c r="K23" s="1"/>
    </row>
    <row r="24" spans="1:11" ht="35.049999999999997" customHeight="1" x14ac:dyDescent="0.3">
      <c r="A24" s="398" t="s">
        <v>797</v>
      </c>
      <c r="B24" s="17" t="s">
        <v>480</v>
      </c>
      <c r="C24" s="405">
        <v>0</v>
      </c>
      <c r="D24" s="501">
        <v>4.8550000000000004</v>
      </c>
      <c r="E24" s="502">
        <v>0.93200000000000005</v>
      </c>
      <c r="F24" s="503">
        <v>8.5000000000000006E-2</v>
      </c>
      <c r="G24" s="508">
        <v>878.5</v>
      </c>
      <c r="H24" s="508">
        <v>2.42</v>
      </c>
      <c r="I24" s="400">
        <v>3.56</v>
      </c>
      <c r="J24" s="499">
        <v>9.7000000000000003E-2</v>
      </c>
      <c r="K24" s="1"/>
    </row>
    <row r="25" spans="1:11" ht="35.049999999999997" customHeight="1" x14ac:dyDescent="0.3">
      <c r="A25" s="398" t="s">
        <v>583</v>
      </c>
      <c r="B25" s="17" t="s">
        <v>480</v>
      </c>
      <c r="C25" s="406" t="s">
        <v>616</v>
      </c>
      <c r="D25" s="504">
        <v>15.116</v>
      </c>
      <c r="E25" s="505">
        <v>3.2069999999999999</v>
      </c>
      <c r="F25" s="503">
        <v>2.3820000000000001</v>
      </c>
      <c r="G25" s="509"/>
      <c r="H25" s="509"/>
      <c r="I25" s="399"/>
      <c r="J25" s="500"/>
      <c r="K25" s="1"/>
    </row>
    <row r="26" spans="1:11" ht="35.049999999999997" customHeight="1" x14ac:dyDescent="0.3">
      <c r="A26" s="398" t="s">
        <v>686</v>
      </c>
      <c r="B26" s="17" t="s">
        <v>480</v>
      </c>
      <c r="C26" s="406" t="s">
        <v>621</v>
      </c>
      <c r="D26" s="501">
        <v>-7.4329999999999998</v>
      </c>
      <c r="E26" s="502">
        <v>-1.546</v>
      </c>
      <c r="F26" s="503">
        <v>-0.13800000000000001</v>
      </c>
      <c r="G26" s="508">
        <v>0</v>
      </c>
      <c r="H26" s="509"/>
      <c r="I26" s="399"/>
      <c r="J26" s="500"/>
      <c r="K26" s="1"/>
    </row>
    <row r="27" spans="1:11" ht="35.049999999999997" customHeight="1" x14ac:dyDescent="0.3">
      <c r="A27" s="398" t="s">
        <v>687</v>
      </c>
      <c r="B27" s="17" t="s">
        <v>480</v>
      </c>
      <c r="C27" s="406" t="s">
        <v>621</v>
      </c>
      <c r="D27" s="501">
        <v>-7.4329999999999998</v>
      </c>
      <c r="E27" s="502">
        <v>-1.546</v>
      </c>
      <c r="F27" s="503">
        <v>-0.13800000000000001</v>
      </c>
      <c r="G27" s="508">
        <v>0</v>
      </c>
      <c r="H27" s="509"/>
      <c r="I27" s="399"/>
      <c r="J27" s="499">
        <v>0.13700000000000001</v>
      </c>
      <c r="K27" s="1"/>
    </row>
    <row r="28" spans="1:11" ht="35.049999999999997" customHeight="1" x14ac:dyDescent="0.3">
      <c r="A28" s="401" t="s">
        <v>798</v>
      </c>
      <c r="B28" s="17" t="s">
        <v>480</v>
      </c>
      <c r="C28" s="406" t="s">
        <v>647</v>
      </c>
      <c r="D28" s="501">
        <v>4.6790000000000003</v>
      </c>
      <c r="E28" s="502">
        <v>0.97299999999999998</v>
      </c>
      <c r="F28" s="503">
        <v>8.6999999999999994E-2</v>
      </c>
      <c r="G28" s="508">
        <v>8.32</v>
      </c>
      <c r="H28" s="509"/>
      <c r="I28" s="399"/>
      <c r="J28" s="500"/>
      <c r="K28" s="1"/>
    </row>
    <row r="29" spans="1:11" ht="35.049999999999997" customHeight="1" x14ac:dyDescent="0.3">
      <c r="A29" s="401" t="s">
        <v>799</v>
      </c>
      <c r="B29" s="17" t="s">
        <v>480</v>
      </c>
      <c r="C29" s="406" t="s">
        <v>575</v>
      </c>
      <c r="D29" s="501">
        <v>4.6790000000000003</v>
      </c>
      <c r="E29" s="502">
        <v>0.97299999999999998</v>
      </c>
      <c r="F29" s="503">
        <v>8.6999999999999994E-2</v>
      </c>
      <c r="G29" s="509"/>
      <c r="H29" s="509"/>
      <c r="I29" s="399"/>
      <c r="J29" s="500"/>
      <c r="K29" s="1"/>
    </row>
    <row r="30" spans="1:11" ht="35.049999999999997" customHeight="1" x14ac:dyDescent="0.3">
      <c r="A30" s="401" t="s">
        <v>800</v>
      </c>
      <c r="B30" s="17" t="s">
        <v>480</v>
      </c>
      <c r="C30" s="406" t="s">
        <v>648</v>
      </c>
      <c r="D30" s="501">
        <v>4.7539999999999996</v>
      </c>
      <c r="E30" s="502">
        <v>0.98899999999999999</v>
      </c>
      <c r="F30" s="503">
        <v>8.7999999999999995E-2</v>
      </c>
      <c r="G30" s="508">
        <v>2.62</v>
      </c>
      <c r="H30" s="509"/>
      <c r="I30" s="399"/>
      <c r="J30" s="500"/>
      <c r="K30" s="1"/>
    </row>
    <row r="31" spans="1:11" ht="35.049999999999997" customHeight="1" x14ac:dyDescent="0.3">
      <c r="A31" s="401" t="s">
        <v>801</v>
      </c>
      <c r="B31" s="17" t="s">
        <v>480</v>
      </c>
      <c r="C31" s="406" t="s">
        <v>648</v>
      </c>
      <c r="D31" s="501">
        <v>4.7539999999999996</v>
      </c>
      <c r="E31" s="502">
        <v>0.98899999999999999</v>
      </c>
      <c r="F31" s="503">
        <v>8.7999999999999995E-2</v>
      </c>
      <c r="G31" s="508">
        <v>4.04</v>
      </c>
      <c r="H31" s="509"/>
      <c r="I31" s="399"/>
      <c r="J31" s="500"/>
      <c r="K31" s="1"/>
    </row>
    <row r="32" spans="1:11" ht="35.049999999999997" customHeight="1" x14ac:dyDescent="0.3">
      <c r="A32" s="401" t="s">
        <v>802</v>
      </c>
      <c r="B32" s="17" t="s">
        <v>480</v>
      </c>
      <c r="C32" s="406" t="s">
        <v>648</v>
      </c>
      <c r="D32" s="501">
        <v>4.7539999999999996</v>
      </c>
      <c r="E32" s="502">
        <v>0.98899999999999999</v>
      </c>
      <c r="F32" s="503">
        <v>8.7999999999999995E-2</v>
      </c>
      <c r="G32" s="508">
        <v>9.61</v>
      </c>
      <c r="H32" s="509"/>
      <c r="I32" s="399"/>
      <c r="J32" s="500"/>
      <c r="K32" s="1"/>
    </row>
    <row r="33" spans="1:11" ht="35.049999999999997" customHeight="1" x14ac:dyDescent="0.3">
      <c r="A33" s="401" t="s">
        <v>803</v>
      </c>
      <c r="B33" s="17" t="s">
        <v>480</v>
      </c>
      <c r="C33" s="406" t="s">
        <v>648</v>
      </c>
      <c r="D33" s="501">
        <v>4.7539999999999996</v>
      </c>
      <c r="E33" s="502">
        <v>0.98899999999999999</v>
      </c>
      <c r="F33" s="503">
        <v>8.7999999999999995E-2</v>
      </c>
      <c r="G33" s="508">
        <v>19.920000000000002</v>
      </c>
      <c r="H33" s="509"/>
      <c r="I33" s="399"/>
      <c r="J33" s="500"/>
      <c r="K33" s="1"/>
    </row>
    <row r="34" spans="1:11" ht="35.049999999999997" customHeight="1" x14ac:dyDescent="0.3">
      <c r="A34" s="401" t="s">
        <v>804</v>
      </c>
      <c r="B34" s="17" t="s">
        <v>480</v>
      </c>
      <c r="C34" s="406" t="s">
        <v>648</v>
      </c>
      <c r="D34" s="501">
        <v>4.7539999999999996</v>
      </c>
      <c r="E34" s="502">
        <v>0.98899999999999999</v>
      </c>
      <c r="F34" s="503">
        <v>8.7999999999999995E-2</v>
      </c>
      <c r="G34" s="508">
        <v>56.48</v>
      </c>
      <c r="H34" s="509"/>
      <c r="I34" s="399"/>
      <c r="J34" s="500"/>
      <c r="K34" s="1"/>
    </row>
    <row r="35" spans="1:11" ht="35.049999999999997" customHeight="1" x14ac:dyDescent="0.3">
      <c r="A35" s="401" t="s">
        <v>584</v>
      </c>
      <c r="B35" s="17" t="s">
        <v>480</v>
      </c>
      <c r="C35" s="406" t="s">
        <v>577</v>
      </c>
      <c r="D35" s="501">
        <v>4.7539999999999996</v>
      </c>
      <c r="E35" s="502">
        <v>0.98899999999999999</v>
      </c>
      <c r="F35" s="503">
        <v>8.7999999999999995E-2</v>
      </c>
      <c r="G35" s="509"/>
      <c r="H35" s="509"/>
      <c r="I35" s="399"/>
      <c r="J35" s="500"/>
      <c r="K35" s="1"/>
    </row>
    <row r="36" spans="1:11" ht="35.049999999999997" customHeight="1" x14ac:dyDescent="0.3">
      <c r="A36" s="401" t="s">
        <v>805</v>
      </c>
      <c r="B36" s="17" t="s">
        <v>480</v>
      </c>
      <c r="C36" s="406" t="s">
        <v>596</v>
      </c>
      <c r="D36" s="501">
        <v>3.3980000000000001</v>
      </c>
      <c r="E36" s="502">
        <v>0.65200000000000002</v>
      </c>
      <c r="F36" s="503">
        <v>0.06</v>
      </c>
      <c r="G36" s="508">
        <v>10.34</v>
      </c>
      <c r="H36" s="508">
        <v>1.69</v>
      </c>
      <c r="I36" s="400">
        <v>2.4900000000000002</v>
      </c>
      <c r="J36" s="499">
        <v>6.8000000000000005E-2</v>
      </c>
      <c r="K36" s="1"/>
    </row>
    <row r="37" spans="1:11" ht="35.049999999999997" customHeight="1" x14ac:dyDescent="0.3">
      <c r="A37" s="401" t="s">
        <v>806</v>
      </c>
      <c r="B37" s="17" t="s">
        <v>480</v>
      </c>
      <c r="C37" s="406">
        <v>0</v>
      </c>
      <c r="D37" s="501">
        <v>3.3980000000000001</v>
      </c>
      <c r="E37" s="502">
        <v>0.65200000000000002</v>
      </c>
      <c r="F37" s="503">
        <v>0.06</v>
      </c>
      <c r="G37" s="508">
        <v>81.150000000000006</v>
      </c>
      <c r="H37" s="508">
        <v>1.69</v>
      </c>
      <c r="I37" s="400">
        <v>2.4900000000000002</v>
      </c>
      <c r="J37" s="499">
        <v>6.8000000000000005E-2</v>
      </c>
      <c r="K37" s="1"/>
    </row>
    <row r="38" spans="1:11" ht="35.049999999999997" customHeight="1" x14ac:dyDescent="0.3">
      <c r="A38" s="401" t="s">
        <v>807</v>
      </c>
      <c r="B38" s="17" t="s">
        <v>480</v>
      </c>
      <c r="C38" s="406">
        <v>0</v>
      </c>
      <c r="D38" s="501">
        <v>3.3980000000000001</v>
      </c>
      <c r="E38" s="502">
        <v>0.65200000000000002</v>
      </c>
      <c r="F38" s="503">
        <v>0.06</v>
      </c>
      <c r="G38" s="508">
        <v>186.91</v>
      </c>
      <c r="H38" s="508">
        <v>1.69</v>
      </c>
      <c r="I38" s="400">
        <v>2.4900000000000002</v>
      </c>
      <c r="J38" s="499">
        <v>6.8000000000000005E-2</v>
      </c>
      <c r="K38" s="1"/>
    </row>
    <row r="39" spans="1:11" ht="35.049999999999997" customHeight="1" x14ac:dyDescent="0.3">
      <c r="A39" s="401" t="s">
        <v>808</v>
      </c>
      <c r="B39" s="17" t="s">
        <v>480</v>
      </c>
      <c r="C39" s="406">
        <v>0</v>
      </c>
      <c r="D39" s="501">
        <v>3.3980000000000001</v>
      </c>
      <c r="E39" s="502">
        <v>0.65200000000000002</v>
      </c>
      <c r="F39" s="503">
        <v>0.06</v>
      </c>
      <c r="G39" s="508">
        <v>298.33999999999997</v>
      </c>
      <c r="H39" s="508">
        <v>1.69</v>
      </c>
      <c r="I39" s="400">
        <v>2.4900000000000002</v>
      </c>
      <c r="J39" s="499">
        <v>6.8000000000000005E-2</v>
      </c>
      <c r="K39" s="1"/>
    </row>
    <row r="40" spans="1:11" ht="35.049999999999997" customHeight="1" x14ac:dyDescent="0.3">
      <c r="A40" s="401" t="s">
        <v>809</v>
      </c>
      <c r="B40" s="17" t="s">
        <v>480</v>
      </c>
      <c r="C40" s="406">
        <v>0</v>
      </c>
      <c r="D40" s="501">
        <v>3.3980000000000001</v>
      </c>
      <c r="E40" s="502">
        <v>0.65200000000000002</v>
      </c>
      <c r="F40" s="503">
        <v>0.06</v>
      </c>
      <c r="G40" s="508">
        <v>614.99</v>
      </c>
      <c r="H40" s="508">
        <v>1.69</v>
      </c>
      <c r="I40" s="400">
        <v>2.4900000000000002</v>
      </c>
      <c r="J40" s="499">
        <v>6.8000000000000005E-2</v>
      </c>
      <c r="K40" s="1"/>
    </row>
    <row r="41" spans="1:11" ht="35.049999999999997" customHeight="1" x14ac:dyDescent="0.3">
      <c r="A41" s="401" t="s">
        <v>810</v>
      </c>
      <c r="B41" s="17" t="s">
        <v>480</v>
      </c>
      <c r="C41" s="406" t="s">
        <v>596</v>
      </c>
      <c r="D41" s="501">
        <v>4.327</v>
      </c>
      <c r="E41" s="502">
        <v>0.76</v>
      </c>
      <c r="F41" s="503">
        <v>7.1999999999999995E-2</v>
      </c>
      <c r="G41" s="508">
        <v>52.4</v>
      </c>
      <c r="H41" s="508">
        <v>2.77</v>
      </c>
      <c r="I41" s="400">
        <v>4.55</v>
      </c>
      <c r="J41" s="499">
        <v>7.6999999999999999E-2</v>
      </c>
      <c r="K41" s="1"/>
    </row>
    <row r="42" spans="1:11" ht="35.049999999999997" customHeight="1" x14ac:dyDescent="0.3">
      <c r="A42" s="401" t="s">
        <v>811</v>
      </c>
      <c r="B42" s="17" t="s">
        <v>480</v>
      </c>
      <c r="C42" s="406">
        <v>0</v>
      </c>
      <c r="D42" s="501">
        <v>4.327</v>
      </c>
      <c r="E42" s="502">
        <v>0.76</v>
      </c>
      <c r="F42" s="503">
        <v>7.1999999999999995E-2</v>
      </c>
      <c r="G42" s="508">
        <v>164.58</v>
      </c>
      <c r="H42" s="508">
        <v>2.77</v>
      </c>
      <c r="I42" s="400">
        <v>4.55</v>
      </c>
      <c r="J42" s="499">
        <v>7.6999999999999999E-2</v>
      </c>
      <c r="K42" s="1"/>
    </row>
    <row r="43" spans="1:11" ht="35.049999999999997" customHeight="1" x14ac:dyDescent="0.3">
      <c r="A43" s="401" t="s">
        <v>812</v>
      </c>
      <c r="B43" s="17" t="s">
        <v>480</v>
      </c>
      <c r="C43" s="406">
        <v>0</v>
      </c>
      <c r="D43" s="501">
        <v>4.327</v>
      </c>
      <c r="E43" s="502">
        <v>0.76</v>
      </c>
      <c r="F43" s="503">
        <v>7.1999999999999995E-2</v>
      </c>
      <c r="G43" s="508">
        <v>332.14</v>
      </c>
      <c r="H43" s="508">
        <v>2.77</v>
      </c>
      <c r="I43" s="400">
        <v>4.55</v>
      </c>
      <c r="J43" s="499">
        <v>7.6999999999999999E-2</v>
      </c>
      <c r="K43" s="1"/>
    </row>
    <row r="44" spans="1:11" ht="35.049999999999997" customHeight="1" x14ac:dyDescent="0.3">
      <c r="A44" s="401" t="s">
        <v>813</v>
      </c>
      <c r="B44" s="17" t="s">
        <v>480</v>
      </c>
      <c r="C44" s="406">
        <v>0</v>
      </c>
      <c r="D44" s="501">
        <v>4.327</v>
      </c>
      <c r="E44" s="502">
        <v>0.76</v>
      </c>
      <c r="F44" s="503">
        <v>7.1999999999999995E-2</v>
      </c>
      <c r="G44" s="508">
        <v>508.67</v>
      </c>
      <c r="H44" s="508">
        <v>2.77</v>
      </c>
      <c r="I44" s="400">
        <v>4.55</v>
      </c>
      <c r="J44" s="499">
        <v>7.6999999999999999E-2</v>
      </c>
      <c r="K44" s="1"/>
    </row>
    <row r="45" spans="1:11" ht="35.049999999999997" customHeight="1" x14ac:dyDescent="0.3">
      <c r="A45" s="401" t="s">
        <v>814</v>
      </c>
      <c r="B45" s="17" t="s">
        <v>480</v>
      </c>
      <c r="C45" s="406">
        <v>0</v>
      </c>
      <c r="D45" s="501">
        <v>4.327</v>
      </c>
      <c r="E45" s="502">
        <v>0.76</v>
      </c>
      <c r="F45" s="503">
        <v>7.1999999999999995E-2</v>
      </c>
      <c r="G45" s="508">
        <v>1010.34</v>
      </c>
      <c r="H45" s="508">
        <v>2.77</v>
      </c>
      <c r="I45" s="400">
        <v>4.55</v>
      </c>
      <c r="J45" s="499">
        <v>7.6999999999999999E-2</v>
      </c>
      <c r="K45" s="1"/>
    </row>
    <row r="46" spans="1:11" ht="35.049999999999997" customHeight="1" x14ac:dyDescent="0.3">
      <c r="A46" s="401" t="s">
        <v>815</v>
      </c>
      <c r="B46" s="17" t="s">
        <v>480</v>
      </c>
      <c r="C46" s="406" t="s">
        <v>596</v>
      </c>
      <c r="D46" s="501">
        <v>3.6269999999999998</v>
      </c>
      <c r="E46" s="502">
        <v>0.53900000000000003</v>
      </c>
      <c r="F46" s="503">
        <v>5.3999999999999999E-2</v>
      </c>
      <c r="G46" s="508">
        <v>136.07</v>
      </c>
      <c r="H46" s="508">
        <v>3.21</v>
      </c>
      <c r="I46" s="400">
        <v>5.57</v>
      </c>
      <c r="J46" s="499">
        <v>5.5E-2</v>
      </c>
      <c r="K46" s="1"/>
    </row>
    <row r="47" spans="1:11" ht="35.049999999999997" customHeight="1" x14ac:dyDescent="0.3">
      <c r="A47" s="401" t="s">
        <v>816</v>
      </c>
      <c r="B47" s="17" t="s">
        <v>480</v>
      </c>
      <c r="C47" s="406">
        <v>0</v>
      </c>
      <c r="D47" s="501">
        <v>3.6269999999999998</v>
      </c>
      <c r="E47" s="502">
        <v>0.53900000000000003</v>
      </c>
      <c r="F47" s="503">
        <v>5.3999999999999999E-2</v>
      </c>
      <c r="G47" s="508">
        <v>982.19</v>
      </c>
      <c r="H47" s="508">
        <v>3.21</v>
      </c>
      <c r="I47" s="400">
        <v>5.57</v>
      </c>
      <c r="J47" s="499">
        <v>5.5E-2</v>
      </c>
      <c r="K47" s="1"/>
    </row>
    <row r="48" spans="1:11" ht="35.049999999999997" customHeight="1" x14ac:dyDescent="0.3">
      <c r="A48" s="401" t="s">
        <v>817</v>
      </c>
      <c r="B48" s="17" t="s">
        <v>480</v>
      </c>
      <c r="C48" s="406">
        <v>0</v>
      </c>
      <c r="D48" s="501">
        <v>3.6269999999999998</v>
      </c>
      <c r="E48" s="502">
        <v>0.53900000000000003</v>
      </c>
      <c r="F48" s="503">
        <v>5.3999999999999999E-2</v>
      </c>
      <c r="G48" s="508">
        <v>2901.78</v>
      </c>
      <c r="H48" s="508">
        <v>3.21</v>
      </c>
      <c r="I48" s="400">
        <v>5.57</v>
      </c>
      <c r="J48" s="499">
        <v>5.5E-2</v>
      </c>
      <c r="K48" s="1"/>
    </row>
    <row r="49" spans="1:11" ht="35.049999999999997" customHeight="1" x14ac:dyDescent="0.3">
      <c r="A49" s="401" t="s">
        <v>818</v>
      </c>
      <c r="B49" s="17" t="s">
        <v>480</v>
      </c>
      <c r="C49" s="406">
        <v>0</v>
      </c>
      <c r="D49" s="501">
        <v>3.6269999999999998</v>
      </c>
      <c r="E49" s="502">
        <v>0.53900000000000003</v>
      </c>
      <c r="F49" s="503">
        <v>5.3999999999999999E-2</v>
      </c>
      <c r="G49" s="508">
        <v>5933.66</v>
      </c>
      <c r="H49" s="508">
        <v>3.21</v>
      </c>
      <c r="I49" s="400">
        <v>5.57</v>
      </c>
      <c r="J49" s="499">
        <v>5.5E-2</v>
      </c>
      <c r="K49" s="1"/>
    </row>
    <row r="50" spans="1:11" ht="35.049999999999997" customHeight="1" x14ac:dyDescent="0.3">
      <c r="A50" s="401" t="s">
        <v>819</v>
      </c>
      <c r="B50" s="17" t="s">
        <v>480</v>
      </c>
      <c r="C50" s="406">
        <v>0</v>
      </c>
      <c r="D50" s="501">
        <v>3.6269999999999998</v>
      </c>
      <c r="E50" s="502">
        <v>0.53900000000000003</v>
      </c>
      <c r="F50" s="503">
        <v>5.3999999999999999E-2</v>
      </c>
      <c r="G50" s="508">
        <v>13656.18</v>
      </c>
      <c r="H50" s="508">
        <v>3.21</v>
      </c>
      <c r="I50" s="400">
        <v>5.57</v>
      </c>
      <c r="J50" s="499">
        <v>5.5E-2</v>
      </c>
      <c r="K50" s="1"/>
    </row>
    <row r="51" spans="1:11" ht="35.049999999999997" customHeight="1" x14ac:dyDescent="0.3">
      <c r="A51" s="401" t="s">
        <v>585</v>
      </c>
      <c r="B51" s="17" t="s">
        <v>480</v>
      </c>
      <c r="C51" s="406" t="s">
        <v>616</v>
      </c>
      <c r="D51" s="504">
        <v>10.582000000000001</v>
      </c>
      <c r="E51" s="505">
        <v>2.2450000000000001</v>
      </c>
      <c r="F51" s="503">
        <v>1.667</v>
      </c>
      <c r="G51" s="509"/>
      <c r="H51" s="509"/>
      <c r="I51" s="399"/>
      <c r="J51" s="500"/>
      <c r="K51" s="1"/>
    </row>
    <row r="52" spans="1:11" ht="35.049999999999997" customHeight="1" x14ac:dyDescent="0.3">
      <c r="A52" s="401" t="s">
        <v>688</v>
      </c>
      <c r="B52" s="17" t="s">
        <v>480</v>
      </c>
      <c r="C52" s="406" t="s">
        <v>621</v>
      </c>
      <c r="D52" s="501">
        <v>-7.4329999999999998</v>
      </c>
      <c r="E52" s="502">
        <v>-1.546</v>
      </c>
      <c r="F52" s="503">
        <v>-0.13800000000000001</v>
      </c>
      <c r="G52" s="508">
        <v>0</v>
      </c>
      <c r="H52" s="509"/>
      <c r="I52" s="399"/>
      <c r="J52" s="500"/>
      <c r="K52" s="1"/>
    </row>
    <row r="53" spans="1:11" ht="35.049999999999997" customHeight="1" x14ac:dyDescent="0.3">
      <c r="A53" s="401" t="s">
        <v>689</v>
      </c>
      <c r="B53" s="17" t="s">
        <v>480</v>
      </c>
      <c r="C53" s="406" t="s">
        <v>621</v>
      </c>
      <c r="D53" s="501">
        <v>-6.1870000000000003</v>
      </c>
      <c r="E53" s="502">
        <v>-1.2090000000000001</v>
      </c>
      <c r="F53" s="503">
        <v>-0.11</v>
      </c>
      <c r="G53" s="508">
        <v>0</v>
      </c>
      <c r="H53" s="509"/>
      <c r="I53" s="399"/>
      <c r="J53" s="500"/>
      <c r="K53" s="1"/>
    </row>
    <row r="54" spans="1:11" ht="35.049999999999997" customHeight="1" x14ac:dyDescent="0.3">
      <c r="A54" s="401" t="s">
        <v>599</v>
      </c>
      <c r="B54" s="17" t="s">
        <v>480</v>
      </c>
      <c r="C54" s="406">
        <v>0</v>
      </c>
      <c r="D54" s="501">
        <v>-7.4329999999999998</v>
      </c>
      <c r="E54" s="502">
        <v>-1.546</v>
      </c>
      <c r="F54" s="503">
        <v>-0.13800000000000001</v>
      </c>
      <c r="G54" s="508">
        <v>0</v>
      </c>
      <c r="H54" s="509"/>
      <c r="I54" s="399"/>
      <c r="J54" s="499">
        <v>0.13700000000000001</v>
      </c>
      <c r="K54" s="1"/>
    </row>
    <row r="55" spans="1:11" ht="35.049999999999997" customHeight="1" x14ac:dyDescent="0.3">
      <c r="A55" s="401" t="s">
        <v>690</v>
      </c>
      <c r="B55" s="17" t="s">
        <v>480</v>
      </c>
      <c r="C55" s="406">
        <v>0</v>
      </c>
      <c r="D55" s="501">
        <v>-6.1870000000000003</v>
      </c>
      <c r="E55" s="502">
        <v>-1.2090000000000001</v>
      </c>
      <c r="F55" s="503">
        <v>-0.11</v>
      </c>
      <c r="G55" s="508">
        <v>0</v>
      </c>
      <c r="H55" s="509"/>
      <c r="I55" s="399"/>
      <c r="J55" s="499">
        <v>0.115</v>
      </c>
      <c r="K55" s="1"/>
    </row>
    <row r="56" spans="1:11" ht="35.049999999999997" customHeight="1" x14ac:dyDescent="0.3">
      <c r="A56" s="401" t="s">
        <v>600</v>
      </c>
      <c r="B56" s="17" t="s">
        <v>480</v>
      </c>
      <c r="C56" s="406">
        <v>0</v>
      </c>
      <c r="D56" s="501">
        <v>-4.726</v>
      </c>
      <c r="E56" s="502">
        <v>-0.8</v>
      </c>
      <c r="F56" s="503">
        <v>-7.5999999999999998E-2</v>
      </c>
      <c r="G56" s="508">
        <v>0</v>
      </c>
      <c r="H56" s="509"/>
      <c r="I56" s="399"/>
      <c r="J56" s="499">
        <v>8.4000000000000005E-2</v>
      </c>
      <c r="K56" s="1"/>
    </row>
    <row r="57" spans="1:11" ht="35.049999999999997" customHeight="1" x14ac:dyDescent="0.3">
      <c r="A57" s="398" t="s">
        <v>820</v>
      </c>
      <c r="B57" s="17" t="s">
        <v>480</v>
      </c>
      <c r="C57" s="406" t="s">
        <v>647</v>
      </c>
      <c r="D57" s="501">
        <v>3.7490000000000001</v>
      </c>
      <c r="E57" s="502">
        <v>0.78</v>
      </c>
      <c r="F57" s="503">
        <v>6.9000000000000006E-2</v>
      </c>
      <c r="G57" s="508">
        <v>7.23</v>
      </c>
      <c r="H57" s="509"/>
      <c r="I57" s="399"/>
      <c r="J57" s="500"/>
      <c r="K57" s="1"/>
    </row>
    <row r="58" spans="1:11" ht="35.049999999999997" customHeight="1" x14ac:dyDescent="0.3">
      <c r="A58" s="398" t="s">
        <v>821</v>
      </c>
      <c r="B58" s="17" t="s">
        <v>480</v>
      </c>
      <c r="C58" s="406" t="s">
        <v>575</v>
      </c>
      <c r="D58" s="501">
        <v>3.7490000000000001</v>
      </c>
      <c r="E58" s="502">
        <v>0.78</v>
      </c>
      <c r="F58" s="503">
        <v>6.9000000000000006E-2</v>
      </c>
      <c r="G58" s="509"/>
      <c r="H58" s="509"/>
      <c r="I58" s="399"/>
      <c r="J58" s="500"/>
      <c r="K58" s="1"/>
    </row>
    <row r="59" spans="1:11" ht="35.049999999999997" customHeight="1" x14ac:dyDescent="0.3">
      <c r="A59" s="398" t="s">
        <v>822</v>
      </c>
      <c r="B59" s="17" t="s">
        <v>480</v>
      </c>
      <c r="C59" s="406" t="s">
        <v>648</v>
      </c>
      <c r="D59" s="501">
        <v>3.8079999999999998</v>
      </c>
      <c r="E59" s="502">
        <v>0.79200000000000004</v>
      </c>
      <c r="F59" s="503">
        <v>7.0999999999999994E-2</v>
      </c>
      <c r="G59" s="508">
        <v>2.13</v>
      </c>
      <c r="H59" s="509"/>
      <c r="I59" s="399"/>
      <c r="J59" s="500"/>
      <c r="K59" s="1"/>
    </row>
    <row r="60" spans="1:11" ht="35.049999999999997" customHeight="1" x14ac:dyDescent="0.3">
      <c r="A60" s="398" t="s">
        <v>823</v>
      </c>
      <c r="B60" s="17" t="s">
        <v>480</v>
      </c>
      <c r="C60" s="406" t="s">
        <v>648</v>
      </c>
      <c r="D60" s="501">
        <v>3.8079999999999998</v>
      </c>
      <c r="E60" s="502">
        <v>0.79200000000000004</v>
      </c>
      <c r="F60" s="503">
        <v>7.0999999999999994E-2</v>
      </c>
      <c r="G60" s="508">
        <v>3.26</v>
      </c>
      <c r="H60" s="509"/>
      <c r="I60" s="399"/>
      <c r="J60" s="500"/>
      <c r="K60" s="1"/>
    </row>
    <row r="61" spans="1:11" ht="35.049999999999997" customHeight="1" x14ac:dyDescent="0.3">
      <c r="A61" s="398" t="s">
        <v>824</v>
      </c>
      <c r="B61" s="17" t="s">
        <v>480</v>
      </c>
      <c r="C61" s="406" t="s">
        <v>648</v>
      </c>
      <c r="D61" s="501">
        <v>3.8079999999999998</v>
      </c>
      <c r="E61" s="502">
        <v>0.79200000000000004</v>
      </c>
      <c r="F61" s="503">
        <v>7.0999999999999994E-2</v>
      </c>
      <c r="G61" s="508">
        <v>7.72</v>
      </c>
      <c r="H61" s="509"/>
      <c r="I61" s="399"/>
      <c r="J61" s="500"/>
      <c r="K61" s="1"/>
    </row>
    <row r="62" spans="1:11" ht="35.049999999999997" customHeight="1" x14ac:dyDescent="0.3">
      <c r="A62" s="398" t="s">
        <v>825</v>
      </c>
      <c r="B62" s="17" t="s">
        <v>480</v>
      </c>
      <c r="C62" s="406" t="s">
        <v>648</v>
      </c>
      <c r="D62" s="501">
        <v>3.8079999999999998</v>
      </c>
      <c r="E62" s="502">
        <v>0.79200000000000004</v>
      </c>
      <c r="F62" s="503">
        <v>7.0999999999999994E-2</v>
      </c>
      <c r="G62" s="508">
        <v>15.98</v>
      </c>
      <c r="H62" s="509"/>
      <c r="I62" s="399"/>
      <c r="J62" s="500"/>
      <c r="K62" s="1"/>
    </row>
    <row r="63" spans="1:11" ht="35.049999999999997" customHeight="1" x14ac:dyDescent="0.3">
      <c r="A63" s="398" t="s">
        <v>826</v>
      </c>
      <c r="B63" s="17" t="s">
        <v>480</v>
      </c>
      <c r="C63" s="406" t="s">
        <v>648</v>
      </c>
      <c r="D63" s="501">
        <v>3.8079999999999998</v>
      </c>
      <c r="E63" s="502">
        <v>0.79200000000000004</v>
      </c>
      <c r="F63" s="503">
        <v>7.0999999999999994E-2</v>
      </c>
      <c r="G63" s="508">
        <v>45.27</v>
      </c>
      <c r="H63" s="509"/>
      <c r="I63" s="399"/>
      <c r="J63" s="500"/>
      <c r="K63" s="1"/>
    </row>
    <row r="64" spans="1:11" ht="35.049999999999997" customHeight="1" x14ac:dyDescent="0.3">
      <c r="A64" s="398" t="s">
        <v>586</v>
      </c>
      <c r="B64" s="17" t="s">
        <v>480</v>
      </c>
      <c r="C64" s="406" t="s">
        <v>577</v>
      </c>
      <c r="D64" s="501">
        <v>3.8079999999999998</v>
      </c>
      <c r="E64" s="502">
        <v>0.79200000000000004</v>
      </c>
      <c r="F64" s="503">
        <v>7.0999999999999994E-2</v>
      </c>
      <c r="G64" s="509"/>
      <c r="H64" s="509"/>
      <c r="I64" s="399"/>
      <c r="J64" s="500"/>
      <c r="K64" s="1"/>
    </row>
    <row r="65" spans="1:11" ht="35.049999999999997" customHeight="1" x14ac:dyDescent="0.3">
      <c r="A65" s="398" t="s">
        <v>827</v>
      </c>
      <c r="B65" s="17" t="s">
        <v>480</v>
      </c>
      <c r="C65" s="406">
        <v>0</v>
      </c>
      <c r="D65" s="501">
        <v>2.722</v>
      </c>
      <c r="E65" s="502">
        <v>0.52300000000000002</v>
      </c>
      <c r="F65" s="503">
        <v>4.8000000000000001E-2</v>
      </c>
      <c r="G65" s="508">
        <v>8.3000000000000007</v>
      </c>
      <c r="H65" s="508">
        <v>1.36</v>
      </c>
      <c r="I65" s="400">
        <v>2</v>
      </c>
      <c r="J65" s="499">
        <v>5.3999999999999999E-2</v>
      </c>
      <c r="K65" s="1"/>
    </row>
    <row r="66" spans="1:11" ht="35.049999999999997" customHeight="1" x14ac:dyDescent="0.3">
      <c r="A66" s="398" t="s">
        <v>828</v>
      </c>
      <c r="B66" s="17" t="s">
        <v>480</v>
      </c>
      <c r="C66" s="406">
        <v>0</v>
      </c>
      <c r="D66" s="501">
        <v>2.722</v>
      </c>
      <c r="E66" s="502">
        <v>0.52300000000000002</v>
      </c>
      <c r="F66" s="503">
        <v>4.8000000000000001E-2</v>
      </c>
      <c r="G66" s="508">
        <v>65.03</v>
      </c>
      <c r="H66" s="508">
        <v>1.36</v>
      </c>
      <c r="I66" s="400">
        <v>2</v>
      </c>
      <c r="J66" s="499">
        <v>5.3999999999999999E-2</v>
      </c>
      <c r="K66" s="1"/>
    </row>
    <row r="67" spans="1:11" ht="35.049999999999997" customHeight="1" x14ac:dyDescent="0.3">
      <c r="A67" s="398" t="s">
        <v>829</v>
      </c>
      <c r="B67" s="17" t="s">
        <v>480</v>
      </c>
      <c r="C67" s="406">
        <v>0</v>
      </c>
      <c r="D67" s="501">
        <v>2.722</v>
      </c>
      <c r="E67" s="502">
        <v>0.52300000000000002</v>
      </c>
      <c r="F67" s="503">
        <v>4.8000000000000001E-2</v>
      </c>
      <c r="G67" s="508">
        <v>149.76</v>
      </c>
      <c r="H67" s="508">
        <v>1.36</v>
      </c>
      <c r="I67" s="400">
        <v>2</v>
      </c>
      <c r="J67" s="499">
        <v>5.3999999999999999E-2</v>
      </c>
      <c r="K67" s="1"/>
    </row>
    <row r="68" spans="1:11" ht="35.049999999999997" customHeight="1" x14ac:dyDescent="0.3">
      <c r="A68" s="398" t="s">
        <v>830</v>
      </c>
      <c r="B68" s="17" t="s">
        <v>480</v>
      </c>
      <c r="C68" s="406">
        <v>0</v>
      </c>
      <c r="D68" s="501">
        <v>2.722</v>
      </c>
      <c r="E68" s="502">
        <v>0.52300000000000002</v>
      </c>
      <c r="F68" s="503">
        <v>4.8000000000000001E-2</v>
      </c>
      <c r="G68" s="508">
        <v>239.03</v>
      </c>
      <c r="H68" s="508">
        <v>1.36</v>
      </c>
      <c r="I68" s="400">
        <v>2</v>
      </c>
      <c r="J68" s="499">
        <v>5.3999999999999999E-2</v>
      </c>
      <c r="K68" s="1"/>
    </row>
    <row r="69" spans="1:11" ht="35.049999999999997" customHeight="1" x14ac:dyDescent="0.3">
      <c r="A69" s="398" t="s">
        <v>831</v>
      </c>
      <c r="B69" s="17" t="s">
        <v>480</v>
      </c>
      <c r="C69" s="406">
        <v>0</v>
      </c>
      <c r="D69" s="501">
        <v>2.722</v>
      </c>
      <c r="E69" s="502">
        <v>0.52300000000000002</v>
      </c>
      <c r="F69" s="503">
        <v>4.8000000000000001E-2</v>
      </c>
      <c r="G69" s="508">
        <v>492.71</v>
      </c>
      <c r="H69" s="508">
        <v>1.36</v>
      </c>
      <c r="I69" s="400">
        <v>2</v>
      </c>
      <c r="J69" s="499">
        <v>5.3999999999999999E-2</v>
      </c>
      <c r="K69" s="1"/>
    </row>
    <row r="70" spans="1:11" ht="35.049999999999997" customHeight="1" x14ac:dyDescent="0.3">
      <c r="A70" s="398" t="s">
        <v>832</v>
      </c>
      <c r="B70" s="17" t="s">
        <v>480</v>
      </c>
      <c r="C70" s="406">
        <v>0</v>
      </c>
      <c r="D70" s="501">
        <v>3.3980000000000001</v>
      </c>
      <c r="E70" s="502">
        <v>0.59699999999999998</v>
      </c>
      <c r="F70" s="503">
        <v>5.6000000000000001E-2</v>
      </c>
      <c r="G70" s="508">
        <v>41.16</v>
      </c>
      <c r="H70" s="508">
        <v>2.17</v>
      </c>
      <c r="I70" s="400">
        <v>3.57</v>
      </c>
      <c r="J70" s="499">
        <v>0.06</v>
      </c>
      <c r="K70" s="1"/>
    </row>
    <row r="71" spans="1:11" ht="35.049999999999997" customHeight="1" x14ac:dyDescent="0.3">
      <c r="A71" s="398" t="s">
        <v>833</v>
      </c>
      <c r="B71" s="17" t="s">
        <v>480</v>
      </c>
      <c r="C71" s="406">
        <v>0</v>
      </c>
      <c r="D71" s="501">
        <v>3.3980000000000001</v>
      </c>
      <c r="E71" s="502">
        <v>0.59699999999999998</v>
      </c>
      <c r="F71" s="503">
        <v>5.6000000000000001E-2</v>
      </c>
      <c r="G71" s="508">
        <v>129.24</v>
      </c>
      <c r="H71" s="508">
        <v>2.17</v>
      </c>
      <c r="I71" s="400">
        <v>3.57</v>
      </c>
      <c r="J71" s="499">
        <v>0.06</v>
      </c>
      <c r="K71" s="1"/>
    </row>
    <row r="72" spans="1:11" ht="35.049999999999997" customHeight="1" x14ac:dyDescent="0.3">
      <c r="A72" s="398" t="s">
        <v>834</v>
      </c>
      <c r="B72" s="17" t="s">
        <v>480</v>
      </c>
      <c r="C72" s="406">
        <v>0</v>
      </c>
      <c r="D72" s="501">
        <v>3.3980000000000001</v>
      </c>
      <c r="E72" s="502">
        <v>0.59699999999999998</v>
      </c>
      <c r="F72" s="503">
        <v>5.6000000000000001E-2</v>
      </c>
      <c r="G72" s="508">
        <v>260.8</v>
      </c>
      <c r="H72" s="508">
        <v>2.17</v>
      </c>
      <c r="I72" s="400">
        <v>3.57</v>
      </c>
      <c r="J72" s="499">
        <v>0.06</v>
      </c>
      <c r="K72" s="1"/>
    </row>
    <row r="73" spans="1:11" ht="35.049999999999997" customHeight="1" x14ac:dyDescent="0.3">
      <c r="A73" s="398" t="s">
        <v>835</v>
      </c>
      <c r="B73" s="17" t="s">
        <v>480</v>
      </c>
      <c r="C73" s="406">
        <v>0</v>
      </c>
      <c r="D73" s="501">
        <v>3.3980000000000001</v>
      </c>
      <c r="E73" s="502">
        <v>0.59699999999999998</v>
      </c>
      <c r="F73" s="503">
        <v>5.6000000000000001E-2</v>
      </c>
      <c r="G73" s="508">
        <v>399.39</v>
      </c>
      <c r="H73" s="508">
        <v>2.17</v>
      </c>
      <c r="I73" s="400">
        <v>3.57</v>
      </c>
      <c r="J73" s="499">
        <v>0.06</v>
      </c>
      <c r="K73" s="1"/>
    </row>
    <row r="74" spans="1:11" ht="35.049999999999997" customHeight="1" x14ac:dyDescent="0.3">
      <c r="A74" s="398" t="s">
        <v>836</v>
      </c>
      <c r="B74" s="17" t="s">
        <v>480</v>
      </c>
      <c r="C74" s="406">
        <v>0</v>
      </c>
      <c r="D74" s="501">
        <v>3.3980000000000001</v>
      </c>
      <c r="E74" s="502">
        <v>0.59699999999999998</v>
      </c>
      <c r="F74" s="503">
        <v>5.6000000000000001E-2</v>
      </c>
      <c r="G74" s="508">
        <v>793.27</v>
      </c>
      <c r="H74" s="508">
        <v>2.17</v>
      </c>
      <c r="I74" s="400">
        <v>3.57</v>
      </c>
      <c r="J74" s="499">
        <v>0.06</v>
      </c>
      <c r="K74" s="1"/>
    </row>
    <row r="75" spans="1:11" ht="35.049999999999997" customHeight="1" x14ac:dyDescent="0.3">
      <c r="A75" s="398" t="s">
        <v>837</v>
      </c>
      <c r="B75" s="17" t="s">
        <v>480</v>
      </c>
      <c r="C75" s="406">
        <v>0</v>
      </c>
      <c r="D75" s="501">
        <v>2.8180000000000001</v>
      </c>
      <c r="E75" s="502">
        <v>0.41899999999999998</v>
      </c>
      <c r="F75" s="503">
        <v>4.2000000000000003E-2</v>
      </c>
      <c r="G75" s="508">
        <v>105.74</v>
      </c>
      <c r="H75" s="508">
        <v>2.5</v>
      </c>
      <c r="I75" s="400">
        <v>4.33</v>
      </c>
      <c r="J75" s="499">
        <v>4.2999999999999997E-2</v>
      </c>
      <c r="K75" s="1"/>
    </row>
    <row r="76" spans="1:11" ht="35.049999999999997" customHeight="1" x14ac:dyDescent="0.3">
      <c r="A76" s="398" t="s">
        <v>838</v>
      </c>
      <c r="B76" s="17" t="s">
        <v>480</v>
      </c>
      <c r="C76" s="406">
        <v>0</v>
      </c>
      <c r="D76" s="501">
        <v>2.8180000000000001</v>
      </c>
      <c r="E76" s="502">
        <v>0.41899999999999998</v>
      </c>
      <c r="F76" s="503">
        <v>4.2000000000000003E-2</v>
      </c>
      <c r="G76" s="508">
        <v>763.09</v>
      </c>
      <c r="H76" s="508">
        <v>2.5</v>
      </c>
      <c r="I76" s="400">
        <v>4.33</v>
      </c>
      <c r="J76" s="499">
        <v>4.2999999999999997E-2</v>
      </c>
      <c r="K76" s="1"/>
    </row>
    <row r="77" spans="1:11" ht="35.049999999999997" customHeight="1" x14ac:dyDescent="0.3">
      <c r="A77" s="398" t="s">
        <v>839</v>
      </c>
      <c r="B77" s="17" t="s">
        <v>480</v>
      </c>
      <c r="C77" s="406">
        <v>0</v>
      </c>
      <c r="D77" s="501">
        <v>2.8180000000000001</v>
      </c>
      <c r="E77" s="502">
        <v>0.41899999999999998</v>
      </c>
      <c r="F77" s="503">
        <v>4.2000000000000003E-2</v>
      </c>
      <c r="G77" s="508">
        <v>2254.4299999999998</v>
      </c>
      <c r="H77" s="508">
        <v>2.5</v>
      </c>
      <c r="I77" s="400">
        <v>4.33</v>
      </c>
      <c r="J77" s="499">
        <v>4.2999999999999997E-2</v>
      </c>
      <c r="K77" s="1"/>
    </row>
    <row r="78" spans="1:11" ht="35.049999999999997" customHeight="1" x14ac:dyDescent="0.3">
      <c r="A78" s="398" t="s">
        <v>840</v>
      </c>
      <c r="B78" s="17" t="s">
        <v>480</v>
      </c>
      <c r="C78" s="406">
        <v>0</v>
      </c>
      <c r="D78" s="501">
        <v>2.8180000000000001</v>
      </c>
      <c r="E78" s="502">
        <v>0.41899999999999998</v>
      </c>
      <c r="F78" s="503">
        <v>4.2000000000000003E-2</v>
      </c>
      <c r="G78" s="508">
        <v>4609.91</v>
      </c>
      <c r="H78" s="508">
        <v>2.5</v>
      </c>
      <c r="I78" s="400">
        <v>4.33</v>
      </c>
      <c r="J78" s="499">
        <v>4.2999999999999997E-2</v>
      </c>
      <c r="K78" s="1"/>
    </row>
    <row r="79" spans="1:11" ht="35.049999999999997" customHeight="1" x14ac:dyDescent="0.3">
      <c r="A79" s="398" t="s">
        <v>841</v>
      </c>
      <c r="B79" s="17" t="s">
        <v>480</v>
      </c>
      <c r="C79" s="406">
        <v>0</v>
      </c>
      <c r="D79" s="501">
        <v>2.8180000000000001</v>
      </c>
      <c r="E79" s="502">
        <v>0.41899999999999998</v>
      </c>
      <c r="F79" s="503">
        <v>4.2000000000000003E-2</v>
      </c>
      <c r="G79" s="508">
        <v>10609.57</v>
      </c>
      <c r="H79" s="508">
        <v>2.5</v>
      </c>
      <c r="I79" s="400">
        <v>4.33</v>
      </c>
      <c r="J79" s="499">
        <v>4.2999999999999997E-2</v>
      </c>
      <c r="K79" s="1"/>
    </row>
    <row r="80" spans="1:11" ht="35.049999999999997" customHeight="1" x14ac:dyDescent="0.3">
      <c r="A80" s="398" t="s">
        <v>587</v>
      </c>
      <c r="B80" s="17" t="s">
        <v>480</v>
      </c>
      <c r="C80" s="406" t="s">
        <v>616</v>
      </c>
      <c r="D80" s="504">
        <v>8.4770000000000003</v>
      </c>
      <c r="E80" s="505">
        <v>1.798</v>
      </c>
      <c r="F80" s="503">
        <v>1.3360000000000001</v>
      </c>
      <c r="G80" s="509"/>
      <c r="H80" s="509"/>
      <c r="I80" s="399"/>
      <c r="J80" s="500"/>
      <c r="K80" s="1"/>
    </row>
    <row r="81" spans="1:11" ht="35.049999999999997" customHeight="1" x14ac:dyDescent="0.3">
      <c r="A81" s="398" t="s">
        <v>691</v>
      </c>
      <c r="B81" s="17" t="s">
        <v>480</v>
      </c>
      <c r="C81" s="406" t="s">
        <v>621</v>
      </c>
      <c r="D81" s="501">
        <v>-4.2140000000000004</v>
      </c>
      <c r="E81" s="502">
        <v>-0.877</v>
      </c>
      <c r="F81" s="503">
        <v>-7.8E-2</v>
      </c>
      <c r="G81" s="508">
        <v>0</v>
      </c>
      <c r="H81" s="509"/>
      <c r="I81" s="399"/>
      <c r="J81" s="500"/>
      <c r="K81" s="1"/>
    </row>
    <row r="82" spans="1:11" ht="35.049999999999997" customHeight="1" x14ac:dyDescent="0.3">
      <c r="A82" s="398" t="s">
        <v>692</v>
      </c>
      <c r="B82" s="17" t="s">
        <v>480</v>
      </c>
      <c r="C82" s="406" t="s">
        <v>621</v>
      </c>
      <c r="D82" s="501">
        <v>-4.1040000000000001</v>
      </c>
      <c r="E82" s="502">
        <v>-0.80200000000000005</v>
      </c>
      <c r="F82" s="503">
        <v>-7.2999999999999995E-2</v>
      </c>
      <c r="G82" s="508">
        <v>0</v>
      </c>
      <c r="H82" s="509"/>
      <c r="I82" s="399"/>
      <c r="J82" s="500"/>
      <c r="K82" s="1"/>
    </row>
    <row r="83" spans="1:11" ht="35.049999999999997" customHeight="1" x14ac:dyDescent="0.3">
      <c r="A83" s="398" t="s">
        <v>693</v>
      </c>
      <c r="B83" s="17" t="s">
        <v>480</v>
      </c>
      <c r="C83" s="406">
        <v>0</v>
      </c>
      <c r="D83" s="501">
        <v>-4.2140000000000004</v>
      </c>
      <c r="E83" s="502">
        <v>-0.877</v>
      </c>
      <c r="F83" s="503">
        <v>-7.8E-2</v>
      </c>
      <c r="G83" s="508">
        <v>0</v>
      </c>
      <c r="H83" s="509"/>
      <c r="I83" s="399"/>
      <c r="J83" s="499">
        <v>7.8E-2</v>
      </c>
      <c r="K83" s="1"/>
    </row>
    <row r="84" spans="1:11" ht="35.049999999999997" customHeight="1" x14ac:dyDescent="0.3">
      <c r="A84" s="398" t="s">
        <v>694</v>
      </c>
      <c r="B84" s="17" t="s">
        <v>480</v>
      </c>
      <c r="C84" s="406">
        <v>0</v>
      </c>
      <c r="D84" s="501">
        <v>-4.1040000000000001</v>
      </c>
      <c r="E84" s="502">
        <v>-0.80200000000000005</v>
      </c>
      <c r="F84" s="503">
        <v>-7.2999999999999995E-2</v>
      </c>
      <c r="G84" s="508">
        <v>0</v>
      </c>
      <c r="H84" s="509"/>
      <c r="I84" s="399"/>
      <c r="J84" s="499">
        <v>7.5999999999999998E-2</v>
      </c>
      <c r="K84" s="1"/>
    </row>
    <row r="85" spans="1:11" ht="35.049999999999997" customHeight="1" x14ac:dyDescent="0.3">
      <c r="A85" s="398" t="s">
        <v>695</v>
      </c>
      <c r="B85" s="17" t="s">
        <v>480</v>
      </c>
      <c r="C85" s="406">
        <v>0</v>
      </c>
      <c r="D85" s="501">
        <v>-4.726</v>
      </c>
      <c r="E85" s="502">
        <v>-0.8</v>
      </c>
      <c r="F85" s="503">
        <v>-7.5999999999999998E-2</v>
      </c>
      <c r="G85" s="508">
        <v>10.72</v>
      </c>
      <c r="H85" s="509"/>
      <c r="I85" s="399"/>
      <c r="J85" s="499">
        <v>8.4000000000000005E-2</v>
      </c>
      <c r="K85" s="1"/>
    </row>
    <row r="86" spans="1:11" ht="35.049999999999997" customHeight="1" x14ac:dyDescent="0.3">
      <c r="A86" s="398" t="s">
        <v>842</v>
      </c>
      <c r="B86" s="17" t="s">
        <v>480</v>
      </c>
      <c r="C86" s="406" t="s">
        <v>647</v>
      </c>
      <c r="D86" s="501">
        <v>2.9670000000000001</v>
      </c>
      <c r="E86" s="502">
        <v>0.61699999999999999</v>
      </c>
      <c r="F86" s="503">
        <v>5.5E-2</v>
      </c>
      <c r="G86" s="508">
        <v>6.31</v>
      </c>
      <c r="H86" s="509"/>
      <c r="I86" s="399"/>
      <c r="J86" s="500"/>
      <c r="K86" s="1"/>
    </row>
    <row r="87" spans="1:11" ht="35.049999999999997" customHeight="1" x14ac:dyDescent="0.3">
      <c r="A87" s="398" t="s">
        <v>843</v>
      </c>
      <c r="B87" s="17" t="s">
        <v>480</v>
      </c>
      <c r="C87" s="406" t="s">
        <v>575</v>
      </c>
      <c r="D87" s="501">
        <v>2.9670000000000001</v>
      </c>
      <c r="E87" s="502">
        <v>0.61699999999999999</v>
      </c>
      <c r="F87" s="503">
        <v>5.5E-2</v>
      </c>
      <c r="G87" s="509"/>
      <c r="H87" s="509"/>
      <c r="I87" s="399"/>
      <c r="J87" s="500"/>
      <c r="K87" s="1"/>
    </row>
    <row r="88" spans="1:11" ht="35.049999999999997" customHeight="1" x14ac:dyDescent="0.3">
      <c r="A88" s="398" t="s">
        <v>844</v>
      </c>
      <c r="B88" s="17" t="s">
        <v>480</v>
      </c>
      <c r="C88" s="406" t="s">
        <v>648</v>
      </c>
      <c r="D88" s="501">
        <v>3.0139999999999998</v>
      </c>
      <c r="E88" s="502">
        <v>0.627</v>
      </c>
      <c r="F88" s="503">
        <v>5.6000000000000001E-2</v>
      </c>
      <c r="G88" s="508">
        <v>1.71</v>
      </c>
      <c r="H88" s="509"/>
      <c r="I88" s="399"/>
      <c r="J88" s="500"/>
      <c r="K88" s="1"/>
    </row>
    <row r="89" spans="1:11" ht="35.049999999999997" customHeight="1" x14ac:dyDescent="0.3">
      <c r="A89" s="398" t="s">
        <v>845</v>
      </c>
      <c r="B89" s="17" t="s">
        <v>480</v>
      </c>
      <c r="C89" s="406" t="s">
        <v>648</v>
      </c>
      <c r="D89" s="501">
        <v>3.0139999999999998</v>
      </c>
      <c r="E89" s="502">
        <v>0.627</v>
      </c>
      <c r="F89" s="503">
        <v>5.6000000000000001E-2</v>
      </c>
      <c r="G89" s="508">
        <v>2.6</v>
      </c>
      <c r="H89" s="509"/>
      <c r="I89" s="399"/>
      <c r="J89" s="500"/>
      <c r="K89" s="1"/>
    </row>
    <row r="90" spans="1:11" ht="35.049999999999997" customHeight="1" x14ac:dyDescent="0.3">
      <c r="A90" s="398" t="s">
        <v>846</v>
      </c>
      <c r="B90" s="17" t="s">
        <v>480</v>
      </c>
      <c r="C90" s="406" t="s">
        <v>648</v>
      </c>
      <c r="D90" s="501">
        <v>3.0139999999999998</v>
      </c>
      <c r="E90" s="502">
        <v>0.627</v>
      </c>
      <c r="F90" s="503">
        <v>5.6000000000000001E-2</v>
      </c>
      <c r="G90" s="508">
        <v>6.13</v>
      </c>
      <c r="H90" s="509"/>
      <c r="I90" s="399"/>
      <c r="J90" s="500"/>
      <c r="K90" s="1"/>
    </row>
    <row r="91" spans="1:11" ht="35.049999999999997" customHeight="1" x14ac:dyDescent="0.3">
      <c r="A91" s="398" t="s">
        <v>847</v>
      </c>
      <c r="B91" s="17" t="s">
        <v>480</v>
      </c>
      <c r="C91" s="406" t="s">
        <v>648</v>
      </c>
      <c r="D91" s="501">
        <v>3.0139999999999998</v>
      </c>
      <c r="E91" s="502">
        <v>0.627</v>
      </c>
      <c r="F91" s="503">
        <v>5.6000000000000001E-2</v>
      </c>
      <c r="G91" s="508">
        <v>12.67</v>
      </c>
      <c r="H91" s="509"/>
      <c r="I91" s="399"/>
      <c r="J91" s="500"/>
      <c r="K91" s="1"/>
    </row>
    <row r="92" spans="1:11" ht="35.049999999999997" customHeight="1" x14ac:dyDescent="0.3">
      <c r="A92" s="398" t="s">
        <v>848</v>
      </c>
      <c r="B92" s="17" t="s">
        <v>480</v>
      </c>
      <c r="C92" s="406" t="s">
        <v>648</v>
      </c>
      <c r="D92" s="501">
        <v>3.0139999999999998</v>
      </c>
      <c r="E92" s="502">
        <v>0.627</v>
      </c>
      <c r="F92" s="503">
        <v>5.6000000000000001E-2</v>
      </c>
      <c r="G92" s="508">
        <v>35.86</v>
      </c>
      <c r="H92" s="509"/>
      <c r="I92" s="399"/>
      <c r="J92" s="500"/>
      <c r="K92" s="1"/>
    </row>
    <row r="93" spans="1:11" ht="35.049999999999997" customHeight="1" x14ac:dyDescent="0.3">
      <c r="A93" s="398" t="s">
        <v>588</v>
      </c>
      <c r="B93" s="17" t="s">
        <v>480</v>
      </c>
      <c r="C93" s="406" t="s">
        <v>577</v>
      </c>
      <c r="D93" s="501">
        <v>3.0139999999999998</v>
      </c>
      <c r="E93" s="502">
        <v>0.627</v>
      </c>
      <c r="F93" s="503">
        <v>5.6000000000000001E-2</v>
      </c>
      <c r="G93" s="509"/>
      <c r="H93" s="509"/>
      <c r="I93" s="399"/>
      <c r="J93" s="500"/>
      <c r="K93" s="1"/>
    </row>
    <row r="94" spans="1:11" ht="35.049999999999997" customHeight="1" x14ac:dyDescent="0.3">
      <c r="A94" s="398" t="s">
        <v>849</v>
      </c>
      <c r="B94" s="17" t="s">
        <v>480</v>
      </c>
      <c r="C94" s="406">
        <v>0</v>
      </c>
      <c r="D94" s="501">
        <v>2.1549999999999998</v>
      </c>
      <c r="E94" s="502">
        <v>0.41399999999999998</v>
      </c>
      <c r="F94" s="503">
        <v>3.7999999999999999E-2</v>
      </c>
      <c r="G94" s="508">
        <v>6.6</v>
      </c>
      <c r="H94" s="508">
        <v>1.07</v>
      </c>
      <c r="I94" s="400">
        <v>1.58</v>
      </c>
      <c r="J94" s="499">
        <v>4.2999999999999997E-2</v>
      </c>
      <c r="K94" s="1"/>
    </row>
    <row r="95" spans="1:11" ht="35.049999999999997" customHeight="1" x14ac:dyDescent="0.3">
      <c r="A95" s="398" t="s">
        <v>850</v>
      </c>
      <c r="B95" s="17" t="s">
        <v>480</v>
      </c>
      <c r="C95" s="406">
        <v>0</v>
      </c>
      <c r="D95" s="501">
        <v>2.1549999999999998</v>
      </c>
      <c r="E95" s="502">
        <v>0.41399999999999998</v>
      </c>
      <c r="F95" s="503">
        <v>3.7999999999999999E-2</v>
      </c>
      <c r="G95" s="508">
        <v>51.49</v>
      </c>
      <c r="H95" s="508">
        <v>1.07</v>
      </c>
      <c r="I95" s="400">
        <v>1.58</v>
      </c>
      <c r="J95" s="499">
        <v>4.2999999999999997E-2</v>
      </c>
      <c r="K95" s="1"/>
    </row>
    <row r="96" spans="1:11" ht="35.049999999999997" customHeight="1" x14ac:dyDescent="0.3">
      <c r="A96" s="398" t="s">
        <v>851</v>
      </c>
      <c r="B96" s="17" t="s">
        <v>480</v>
      </c>
      <c r="C96" s="406">
        <v>0</v>
      </c>
      <c r="D96" s="501">
        <v>2.1549999999999998</v>
      </c>
      <c r="E96" s="502">
        <v>0.41399999999999998</v>
      </c>
      <c r="F96" s="503">
        <v>3.7999999999999999E-2</v>
      </c>
      <c r="G96" s="508">
        <v>118.55</v>
      </c>
      <c r="H96" s="508">
        <v>1.07</v>
      </c>
      <c r="I96" s="400">
        <v>1.58</v>
      </c>
      <c r="J96" s="499">
        <v>4.2999999999999997E-2</v>
      </c>
      <c r="K96" s="1"/>
    </row>
    <row r="97" spans="1:11" ht="35.049999999999997" customHeight="1" x14ac:dyDescent="0.3">
      <c r="A97" s="398" t="s">
        <v>852</v>
      </c>
      <c r="B97" s="17" t="s">
        <v>480</v>
      </c>
      <c r="C97" s="406">
        <v>0</v>
      </c>
      <c r="D97" s="501">
        <v>2.1549999999999998</v>
      </c>
      <c r="E97" s="502">
        <v>0.41399999999999998</v>
      </c>
      <c r="F97" s="503">
        <v>3.7999999999999999E-2</v>
      </c>
      <c r="G97" s="508">
        <v>189.21</v>
      </c>
      <c r="H97" s="508">
        <v>1.07</v>
      </c>
      <c r="I97" s="400">
        <v>1.58</v>
      </c>
      <c r="J97" s="499">
        <v>4.2999999999999997E-2</v>
      </c>
      <c r="K97" s="1"/>
    </row>
    <row r="98" spans="1:11" ht="35.049999999999997" customHeight="1" x14ac:dyDescent="0.3">
      <c r="A98" s="398" t="s">
        <v>853</v>
      </c>
      <c r="B98" s="17" t="s">
        <v>480</v>
      </c>
      <c r="C98" s="406">
        <v>0</v>
      </c>
      <c r="D98" s="501">
        <v>2.1549999999999998</v>
      </c>
      <c r="E98" s="502">
        <v>0.41399999999999998</v>
      </c>
      <c r="F98" s="503">
        <v>3.7999999999999999E-2</v>
      </c>
      <c r="G98" s="508">
        <v>389.98</v>
      </c>
      <c r="H98" s="508">
        <v>1.07</v>
      </c>
      <c r="I98" s="400">
        <v>1.58</v>
      </c>
      <c r="J98" s="499">
        <v>4.2999999999999997E-2</v>
      </c>
      <c r="K98" s="1"/>
    </row>
    <row r="99" spans="1:11" ht="35.049999999999997" customHeight="1" x14ac:dyDescent="0.3">
      <c r="A99" s="398" t="s">
        <v>854</v>
      </c>
      <c r="B99" s="17" t="s">
        <v>480</v>
      </c>
      <c r="C99" s="406">
        <v>0</v>
      </c>
      <c r="D99" s="501">
        <v>2.6890000000000001</v>
      </c>
      <c r="E99" s="502">
        <v>0.47199999999999998</v>
      </c>
      <c r="F99" s="503">
        <v>4.4999999999999998E-2</v>
      </c>
      <c r="G99" s="508">
        <v>32.6</v>
      </c>
      <c r="H99" s="508">
        <v>1.72</v>
      </c>
      <c r="I99" s="400">
        <v>2.82</v>
      </c>
      <c r="J99" s="499">
        <v>4.8000000000000001E-2</v>
      </c>
      <c r="K99" s="1"/>
    </row>
    <row r="100" spans="1:11" ht="35.049999999999997" customHeight="1" x14ac:dyDescent="0.3">
      <c r="A100" s="398" t="s">
        <v>855</v>
      </c>
      <c r="B100" s="17" t="s">
        <v>480</v>
      </c>
      <c r="C100" s="406">
        <v>0</v>
      </c>
      <c r="D100" s="501">
        <v>2.6890000000000001</v>
      </c>
      <c r="E100" s="502">
        <v>0.47199999999999998</v>
      </c>
      <c r="F100" s="503">
        <v>4.4999999999999998E-2</v>
      </c>
      <c r="G100" s="508">
        <v>102.31</v>
      </c>
      <c r="H100" s="508">
        <v>1.72</v>
      </c>
      <c r="I100" s="400">
        <v>2.82</v>
      </c>
      <c r="J100" s="499">
        <v>4.8000000000000001E-2</v>
      </c>
      <c r="K100" s="1"/>
    </row>
    <row r="101" spans="1:11" ht="35.049999999999997" customHeight="1" x14ac:dyDescent="0.3">
      <c r="A101" s="398" t="s">
        <v>856</v>
      </c>
      <c r="B101" s="17" t="s">
        <v>480</v>
      </c>
      <c r="C101" s="406">
        <v>0</v>
      </c>
      <c r="D101" s="501">
        <v>2.6890000000000001</v>
      </c>
      <c r="E101" s="502">
        <v>0.47199999999999998</v>
      </c>
      <c r="F101" s="503">
        <v>4.4999999999999998E-2</v>
      </c>
      <c r="G101" s="508">
        <v>206.43</v>
      </c>
      <c r="H101" s="508">
        <v>1.72</v>
      </c>
      <c r="I101" s="400">
        <v>2.82</v>
      </c>
      <c r="J101" s="499">
        <v>4.8000000000000001E-2</v>
      </c>
      <c r="K101" s="1"/>
    </row>
    <row r="102" spans="1:11" ht="35.049999999999997" customHeight="1" x14ac:dyDescent="0.3">
      <c r="A102" s="398" t="s">
        <v>857</v>
      </c>
      <c r="B102" s="17" t="s">
        <v>480</v>
      </c>
      <c r="C102" s="406">
        <v>0</v>
      </c>
      <c r="D102" s="501">
        <v>2.6890000000000001</v>
      </c>
      <c r="E102" s="502">
        <v>0.47199999999999998</v>
      </c>
      <c r="F102" s="503">
        <v>4.4999999999999998E-2</v>
      </c>
      <c r="G102" s="508">
        <v>316.13</v>
      </c>
      <c r="H102" s="508">
        <v>1.72</v>
      </c>
      <c r="I102" s="400">
        <v>2.82</v>
      </c>
      <c r="J102" s="499">
        <v>4.8000000000000001E-2</v>
      </c>
      <c r="K102" s="1"/>
    </row>
    <row r="103" spans="1:11" ht="35.049999999999997" customHeight="1" x14ac:dyDescent="0.3">
      <c r="A103" s="398" t="s">
        <v>858</v>
      </c>
      <c r="B103" s="17" t="s">
        <v>480</v>
      </c>
      <c r="C103" s="406">
        <v>0</v>
      </c>
      <c r="D103" s="501">
        <v>2.6890000000000001</v>
      </c>
      <c r="E103" s="502">
        <v>0.47199999999999998</v>
      </c>
      <c r="F103" s="503">
        <v>4.4999999999999998E-2</v>
      </c>
      <c r="G103" s="508">
        <v>627.86</v>
      </c>
      <c r="H103" s="508">
        <v>1.72</v>
      </c>
      <c r="I103" s="400">
        <v>2.82</v>
      </c>
      <c r="J103" s="499">
        <v>4.8000000000000001E-2</v>
      </c>
      <c r="K103" s="1"/>
    </row>
    <row r="104" spans="1:11" ht="35.049999999999997" customHeight="1" x14ac:dyDescent="0.3">
      <c r="A104" s="398" t="s">
        <v>859</v>
      </c>
      <c r="B104" s="17" t="s">
        <v>480</v>
      </c>
      <c r="C104" s="406">
        <v>0</v>
      </c>
      <c r="D104" s="501">
        <v>2.23</v>
      </c>
      <c r="E104" s="502">
        <v>0.33200000000000002</v>
      </c>
      <c r="F104" s="503">
        <v>3.3000000000000002E-2</v>
      </c>
      <c r="G104" s="508">
        <v>83.71</v>
      </c>
      <c r="H104" s="508">
        <v>1.98</v>
      </c>
      <c r="I104" s="400">
        <v>3.43</v>
      </c>
      <c r="J104" s="499">
        <v>3.4000000000000002E-2</v>
      </c>
      <c r="K104" s="1"/>
    </row>
    <row r="105" spans="1:11" ht="35.049999999999997" customHeight="1" x14ac:dyDescent="0.3">
      <c r="A105" s="398" t="s">
        <v>860</v>
      </c>
      <c r="B105" s="17" t="s">
        <v>480</v>
      </c>
      <c r="C105" s="406">
        <v>0</v>
      </c>
      <c r="D105" s="501">
        <v>2.23</v>
      </c>
      <c r="E105" s="502">
        <v>0.33200000000000002</v>
      </c>
      <c r="F105" s="503">
        <v>3.3000000000000002E-2</v>
      </c>
      <c r="G105" s="508">
        <v>603.98</v>
      </c>
      <c r="H105" s="508">
        <v>1.98</v>
      </c>
      <c r="I105" s="400">
        <v>3.43</v>
      </c>
      <c r="J105" s="499">
        <v>3.4000000000000002E-2</v>
      </c>
      <c r="K105" s="1"/>
    </row>
    <row r="106" spans="1:11" ht="35.049999999999997" customHeight="1" x14ac:dyDescent="0.3">
      <c r="A106" s="398" t="s">
        <v>861</v>
      </c>
      <c r="B106" s="17" t="s">
        <v>480</v>
      </c>
      <c r="C106" s="406">
        <v>0</v>
      </c>
      <c r="D106" s="501">
        <v>2.23</v>
      </c>
      <c r="E106" s="502">
        <v>0.33200000000000002</v>
      </c>
      <c r="F106" s="503">
        <v>3.3000000000000002E-2</v>
      </c>
      <c r="G106" s="508">
        <v>1784.31</v>
      </c>
      <c r="H106" s="508">
        <v>1.98</v>
      </c>
      <c r="I106" s="400">
        <v>3.43</v>
      </c>
      <c r="J106" s="499">
        <v>3.4000000000000002E-2</v>
      </c>
      <c r="K106" s="1"/>
    </row>
    <row r="107" spans="1:11" ht="35.049999999999997" customHeight="1" x14ac:dyDescent="0.3">
      <c r="A107" s="398" t="s">
        <v>862</v>
      </c>
      <c r="B107" s="17" t="s">
        <v>480</v>
      </c>
      <c r="C107" s="406">
        <v>0</v>
      </c>
      <c r="D107" s="501">
        <v>2.23</v>
      </c>
      <c r="E107" s="502">
        <v>0.33200000000000002</v>
      </c>
      <c r="F107" s="503">
        <v>3.3000000000000002E-2</v>
      </c>
      <c r="G107" s="508">
        <v>3648.58</v>
      </c>
      <c r="H107" s="508">
        <v>1.98</v>
      </c>
      <c r="I107" s="400">
        <v>3.43</v>
      </c>
      <c r="J107" s="499">
        <v>3.4000000000000002E-2</v>
      </c>
      <c r="K107" s="1"/>
    </row>
    <row r="108" spans="1:11" ht="35.049999999999997" customHeight="1" x14ac:dyDescent="0.3">
      <c r="A108" s="398" t="s">
        <v>863</v>
      </c>
      <c r="B108" s="17" t="s">
        <v>480</v>
      </c>
      <c r="C108" s="406">
        <v>0</v>
      </c>
      <c r="D108" s="501">
        <v>2.23</v>
      </c>
      <c r="E108" s="502">
        <v>0.33200000000000002</v>
      </c>
      <c r="F108" s="503">
        <v>3.3000000000000002E-2</v>
      </c>
      <c r="G108" s="508">
        <v>8397.06</v>
      </c>
      <c r="H108" s="508">
        <v>1.98</v>
      </c>
      <c r="I108" s="400">
        <v>3.43</v>
      </c>
      <c r="J108" s="499">
        <v>3.4000000000000002E-2</v>
      </c>
      <c r="K108" s="1"/>
    </row>
    <row r="109" spans="1:11" ht="35.049999999999997" customHeight="1" x14ac:dyDescent="0.3">
      <c r="A109" s="398" t="s">
        <v>589</v>
      </c>
      <c r="B109" s="17" t="s">
        <v>480</v>
      </c>
      <c r="C109" s="406" t="s">
        <v>616</v>
      </c>
      <c r="D109" s="504">
        <v>6.7089999999999996</v>
      </c>
      <c r="E109" s="505">
        <v>1.423</v>
      </c>
      <c r="F109" s="503">
        <v>1.0569999999999999</v>
      </c>
      <c r="G109" s="509"/>
      <c r="H109" s="509"/>
      <c r="I109" s="399"/>
      <c r="J109" s="500"/>
      <c r="K109" s="1"/>
    </row>
    <row r="110" spans="1:11" ht="35.049999999999997" customHeight="1" x14ac:dyDescent="0.3">
      <c r="A110" s="398" t="s">
        <v>696</v>
      </c>
      <c r="B110" s="17" t="s">
        <v>480</v>
      </c>
      <c r="C110" s="406" t="s">
        <v>621</v>
      </c>
      <c r="D110" s="501">
        <v>-3.335</v>
      </c>
      <c r="E110" s="502">
        <v>-0.69399999999999995</v>
      </c>
      <c r="F110" s="503">
        <v>-6.2E-2</v>
      </c>
      <c r="G110" s="508">
        <v>0</v>
      </c>
      <c r="H110" s="509"/>
      <c r="I110" s="399"/>
      <c r="J110" s="500"/>
      <c r="K110" s="1"/>
    </row>
    <row r="111" spans="1:11" ht="35.049999999999997" customHeight="1" x14ac:dyDescent="0.3">
      <c r="A111" s="398" t="s">
        <v>697</v>
      </c>
      <c r="B111" s="17" t="s">
        <v>480</v>
      </c>
      <c r="C111" s="406" t="s">
        <v>621</v>
      </c>
      <c r="D111" s="501">
        <v>-3.2480000000000002</v>
      </c>
      <c r="E111" s="502">
        <v>-0.63500000000000001</v>
      </c>
      <c r="F111" s="503">
        <v>-5.8000000000000003E-2</v>
      </c>
      <c r="G111" s="508">
        <v>0</v>
      </c>
      <c r="H111" s="509"/>
      <c r="I111" s="399"/>
      <c r="J111" s="500"/>
      <c r="K111" s="1"/>
    </row>
    <row r="112" spans="1:11" ht="35.049999999999997" customHeight="1" x14ac:dyDescent="0.3">
      <c r="A112" s="398" t="s">
        <v>698</v>
      </c>
      <c r="B112" s="17" t="s">
        <v>480</v>
      </c>
      <c r="C112" s="406">
        <v>0</v>
      </c>
      <c r="D112" s="501">
        <v>-3.335</v>
      </c>
      <c r="E112" s="502">
        <v>-0.69399999999999995</v>
      </c>
      <c r="F112" s="503">
        <v>-6.2E-2</v>
      </c>
      <c r="G112" s="508">
        <v>0</v>
      </c>
      <c r="H112" s="509"/>
      <c r="I112" s="399"/>
      <c r="J112" s="499">
        <v>6.2E-2</v>
      </c>
      <c r="K112" s="1"/>
    </row>
    <row r="113" spans="1:11" ht="35.049999999999997" customHeight="1" x14ac:dyDescent="0.3">
      <c r="A113" s="398" t="s">
        <v>699</v>
      </c>
      <c r="B113" s="17" t="s">
        <v>480</v>
      </c>
      <c r="C113" s="406">
        <v>0</v>
      </c>
      <c r="D113" s="501">
        <v>-3.2480000000000002</v>
      </c>
      <c r="E113" s="502">
        <v>-0.63500000000000001</v>
      </c>
      <c r="F113" s="503">
        <v>-5.8000000000000003E-2</v>
      </c>
      <c r="G113" s="508">
        <v>0</v>
      </c>
      <c r="H113" s="509"/>
      <c r="I113" s="399"/>
      <c r="J113" s="499">
        <v>0.06</v>
      </c>
      <c r="K113" s="1"/>
    </row>
    <row r="114" spans="1:11" ht="35.049999999999997" customHeight="1" x14ac:dyDescent="0.3">
      <c r="A114" s="398" t="s">
        <v>700</v>
      </c>
      <c r="B114" s="17" t="s">
        <v>480</v>
      </c>
      <c r="C114" s="406">
        <v>0</v>
      </c>
      <c r="D114" s="501">
        <v>-3.7410000000000001</v>
      </c>
      <c r="E114" s="502">
        <v>-0.63300000000000001</v>
      </c>
      <c r="F114" s="503">
        <v>-6.0999999999999999E-2</v>
      </c>
      <c r="G114" s="508">
        <v>8.49</v>
      </c>
      <c r="H114" s="509"/>
      <c r="I114" s="399"/>
      <c r="J114" s="499">
        <v>6.6000000000000003E-2</v>
      </c>
      <c r="K114" s="1"/>
    </row>
    <row r="115" spans="1:11" ht="35.049999999999997" customHeight="1" x14ac:dyDescent="0.3">
      <c r="A115" s="398" t="s">
        <v>864</v>
      </c>
      <c r="B115" s="17" t="s">
        <v>480</v>
      </c>
      <c r="C115" s="406" t="s">
        <v>647</v>
      </c>
      <c r="D115" s="501">
        <v>2.4790000000000001</v>
      </c>
      <c r="E115" s="502">
        <v>0.51600000000000001</v>
      </c>
      <c r="F115" s="503">
        <v>4.5999999999999999E-2</v>
      </c>
      <c r="G115" s="508">
        <v>5.74</v>
      </c>
      <c r="H115" s="509"/>
      <c r="I115" s="399"/>
      <c r="J115" s="500"/>
      <c r="K115" s="1"/>
    </row>
    <row r="116" spans="1:11" ht="35.049999999999997" customHeight="1" x14ac:dyDescent="0.3">
      <c r="A116" s="398" t="s">
        <v>865</v>
      </c>
      <c r="B116" s="17" t="s">
        <v>480</v>
      </c>
      <c r="C116" s="406" t="s">
        <v>575</v>
      </c>
      <c r="D116" s="501">
        <v>2.4790000000000001</v>
      </c>
      <c r="E116" s="502">
        <v>0.51600000000000001</v>
      </c>
      <c r="F116" s="503">
        <v>4.5999999999999999E-2</v>
      </c>
      <c r="G116" s="509"/>
      <c r="H116" s="509"/>
      <c r="I116" s="399"/>
      <c r="J116" s="500"/>
      <c r="K116" s="1"/>
    </row>
    <row r="117" spans="1:11" ht="35.049999999999997" customHeight="1" x14ac:dyDescent="0.3">
      <c r="A117" s="398" t="s">
        <v>866</v>
      </c>
      <c r="B117" s="17" t="s">
        <v>480</v>
      </c>
      <c r="C117" s="406" t="s">
        <v>648</v>
      </c>
      <c r="D117" s="501">
        <v>2.5190000000000001</v>
      </c>
      <c r="E117" s="502">
        <v>0.52400000000000002</v>
      </c>
      <c r="F117" s="503">
        <v>4.7E-2</v>
      </c>
      <c r="G117" s="508">
        <v>1.44</v>
      </c>
      <c r="H117" s="509"/>
      <c r="I117" s="399"/>
      <c r="J117" s="500"/>
      <c r="K117" s="1"/>
    </row>
    <row r="118" spans="1:11" ht="35.049999999999997" customHeight="1" x14ac:dyDescent="0.3">
      <c r="A118" s="398" t="s">
        <v>867</v>
      </c>
      <c r="B118" s="17" t="s">
        <v>480</v>
      </c>
      <c r="C118" s="406" t="s">
        <v>648</v>
      </c>
      <c r="D118" s="501">
        <v>2.5190000000000001</v>
      </c>
      <c r="E118" s="502">
        <v>0.52400000000000002</v>
      </c>
      <c r="F118" s="503">
        <v>4.7E-2</v>
      </c>
      <c r="G118" s="508">
        <v>2.19</v>
      </c>
      <c r="H118" s="509"/>
      <c r="I118" s="399"/>
      <c r="J118" s="500"/>
      <c r="K118" s="1"/>
    </row>
    <row r="119" spans="1:11" ht="35.049999999999997" customHeight="1" x14ac:dyDescent="0.3">
      <c r="A119" s="398" t="s">
        <v>868</v>
      </c>
      <c r="B119" s="17" t="s">
        <v>480</v>
      </c>
      <c r="C119" s="406" t="s">
        <v>648</v>
      </c>
      <c r="D119" s="501">
        <v>2.5190000000000001</v>
      </c>
      <c r="E119" s="502">
        <v>0.52400000000000002</v>
      </c>
      <c r="F119" s="503">
        <v>4.7E-2</v>
      </c>
      <c r="G119" s="508">
        <v>5.14</v>
      </c>
      <c r="H119" s="509"/>
      <c r="I119" s="399"/>
      <c r="J119" s="500"/>
      <c r="K119" s="1"/>
    </row>
    <row r="120" spans="1:11" ht="35.049999999999997" customHeight="1" x14ac:dyDescent="0.3">
      <c r="A120" s="398" t="s">
        <v>869</v>
      </c>
      <c r="B120" s="17" t="s">
        <v>480</v>
      </c>
      <c r="C120" s="406" t="s">
        <v>648</v>
      </c>
      <c r="D120" s="501">
        <v>2.5190000000000001</v>
      </c>
      <c r="E120" s="502">
        <v>0.52400000000000002</v>
      </c>
      <c r="F120" s="503">
        <v>4.7E-2</v>
      </c>
      <c r="G120" s="508">
        <v>10.61</v>
      </c>
      <c r="H120" s="509"/>
      <c r="I120" s="399"/>
      <c r="J120" s="500"/>
      <c r="K120" s="1"/>
    </row>
    <row r="121" spans="1:11" ht="35.049999999999997" customHeight="1" x14ac:dyDescent="0.3">
      <c r="A121" s="398" t="s">
        <v>870</v>
      </c>
      <c r="B121" s="17" t="s">
        <v>480</v>
      </c>
      <c r="C121" s="406" t="s">
        <v>648</v>
      </c>
      <c r="D121" s="501">
        <v>2.5190000000000001</v>
      </c>
      <c r="E121" s="502">
        <v>0.52400000000000002</v>
      </c>
      <c r="F121" s="503">
        <v>4.7E-2</v>
      </c>
      <c r="G121" s="508">
        <v>29.98</v>
      </c>
      <c r="H121" s="509"/>
      <c r="I121" s="399"/>
      <c r="J121" s="500"/>
      <c r="K121" s="1"/>
    </row>
    <row r="122" spans="1:11" ht="35.049999999999997" customHeight="1" x14ac:dyDescent="0.3">
      <c r="A122" s="398" t="s">
        <v>590</v>
      </c>
      <c r="B122" s="17" t="s">
        <v>480</v>
      </c>
      <c r="C122" s="406" t="s">
        <v>577</v>
      </c>
      <c r="D122" s="501">
        <v>2.5190000000000001</v>
      </c>
      <c r="E122" s="502">
        <v>0.52400000000000002</v>
      </c>
      <c r="F122" s="503">
        <v>4.7E-2</v>
      </c>
      <c r="G122" s="509"/>
      <c r="H122" s="509"/>
      <c r="I122" s="399"/>
      <c r="J122" s="500"/>
      <c r="K122" s="1"/>
    </row>
    <row r="123" spans="1:11" ht="35.049999999999997" customHeight="1" x14ac:dyDescent="0.3">
      <c r="A123" s="398" t="s">
        <v>871</v>
      </c>
      <c r="B123" s="17" t="s">
        <v>480</v>
      </c>
      <c r="C123" s="406">
        <v>0</v>
      </c>
      <c r="D123" s="501">
        <v>1.8009999999999999</v>
      </c>
      <c r="E123" s="502">
        <v>0.34599999999999997</v>
      </c>
      <c r="F123" s="503">
        <v>3.2000000000000001E-2</v>
      </c>
      <c r="G123" s="508">
        <v>5.53</v>
      </c>
      <c r="H123" s="508">
        <v>0.9</v>
      </c>
      <c r="I123" s="400">
        <v>1.32</v>
      </c>
      <c r="J123" s="499">
        <v>3.5999999999999997E-2</v>
      </c>
      <c r="K123" s="1"/>
    </row>
    <row r="124" spans="1:11" ht="35.049999999999997" customHeight="1" x14ac:dyDescent="0.3">
      <c r="A124" s="398" t="s">
        <v>872</v>
      </c>
      <c r="B124" s="17" t="s">
        <v>480</v>
      </c>
      <c r="C124" s="406">
        <v>0</v>
      </c>
      <c r="D124" s="501">
        <v>1.8009999999999999</v>
      </c>
      <c r="E124" s="502">
        <v>0.34599999999999997</v>
      </c>
      <c r="F124" s="503">
        <v>3.2000000000000001E-2</v>
      </c>
      <c r="G124" s="508">
        <v>43.05</v>
      </c>
      <c r="H124" s="508">
        <v>0.9</v>
      </c>
      <c r="I124" s="400">
        <v>1.32</v>
      </c>
      <c r="J124" s="499">
        <v>3.5999999999999997E-2</v>
      </c>
      <c r="K124" s="1"/>
    </row>
    <row r="125" spans="1:11" ht="35.049999999999997" customHeight="1" x14ac:dyDescent="0.3">
      <c r="A125" s="398" t="s">
        <v>873</v>
      </c>
      <c r="B125" s="17" t="s">
        <v>480</v>
      </c>
      <c r="C125" s="406">
        <v>0</v>
      </c>
      <c r="D125" s="501">
        <v>1.8009999999999999</v>
      </c>
      <c r="E125" s="502">
        <v>0.34599999999999997</v>
      </c>
      <c r="F125" s="503">
        <v>3.2000000000000001E-2</v>
      </c>
      <c r="G125" s="508">
        <v>99.09</v>
      </c>
      <c r="H125" s="508">
        <v>0.9</v>
      </c>
      <c r="I125" s="400">
        <v>1.32</v>
      </c>
      <c r="J125" s="499">
        <v>3.5999999999999997E-2</v>
      </c>
      <c r="K125" s="1"/>
    </row>
    <row r="126" spans="1:11" ht="35.049999999999997" customHeight="1" x14ac:dyDescent="0.3">
      <c r="A126" s="398" t="s">
        <v>874</v>
      </c>
      <c r="B126" s="17" t="s">
        <v>480</v>
      </c>
      <c r="C126" s="406">
        <v>0</v>
      </c>
      <c r="D126" s="501">
        <v>1.8009999999999999</v>
      </c>
      <c r="E126" s="502">
        <v>0.34599999999999997</v>
      </c>
      <c r="F126" s="503">
        <v>3.2000000000000001E-2</v>
      </c>
      <c r="G126" s="508">
        <v>158.13</v>
      </c>
      <c r="H126" s="508">
        <v>0.9</v>
      </c>
      <c r="I126" s="400">
        <v>1.32</v>
      </c>
      <c r="J126" s="499">
        <v>3.5999999999999997E-2</v>
      </c>
      <c r="K126" s="1"/>
    </row>
    <row r="127" spans="1:11" ht="35.049999999999997" customHeight="1" x14ac:dyDescent="0.3">
      <c r="A127" s="398" t="s">
        <v>875</v>
      </c>
      <c r="B127" s="17" t="s">
        <v>480</v>
      </c>
      <c r="C127" s="406">
        <v>0</v>
      </c>
      <c r="D127" s="501">
        <v>1.8009999999999999</v>
      </c>
      <c r="E127" s="502">
        <v>0.34599999999999997</v>
      </c>
      <c r="F127" s="503">
        <v>3.2000000000000001E-2</v>
      </c>
      <c r="G127" s="508">
        <v>325.91000000000003</v>
      </c>
      <c r="H127" s="508">
        <v>0.9</v>
      </c>
      <c r="I127" s="400">
        <v>1.32</v>
      </c>
      <c r="J127" s="499">
        <v>3.5999999999999997E-2</v>
      </c>
      <c r="K127" s="1"/>
    </row>
    <row r="128" spans="1:11" ht="35.049999999999997" customHeight="1" x14ac:dyDescent="0.3">
      <c r="A128" s="398" t="s">
        <v>876</v>
      </c>
      <c r="B128" s="17" t="s">
        <v>480</v>
      </c>
      <c r="C128" s="406">
        <v>0</v>
      </c>
      <c r="D128" s="501">
        <v>2.2469999999999999</v>
      </c>
      <c r="E128" s="502">
        <v>0.39500000000000002</v>
      </c>
      <c r="F128" s="503">
        <v>3.6999999999999998E-2</v>
      </c>
      <c r="G128" s="508">
        <v>27.26</v>
      </c>
      <c r="H128" s="508">
        <v>1.44</v>
      </c>
      <c r="I128" s="400">
        <v>2.36</v>
      </c>
      <c r="J128" s="499">
        <v>0.04</v>
      </c>
      <c r="K128" s="1"/>
    </row>
    <row r="129" spans="1:11" ht="35.049999999999997" customHeight="1" x14ac:dyDescent="0.3">
      <c r="A129" s="398" t="s">
        <v>877</v>
      </c>
      <c r="B129" s="17" t="s">
        <v>480</v>
      </c>
      <c r="C129" s="406">
        <v>0</v>
      </c>
      <c r="D129" s="501">
        <v>2.2469999999999999</v>
      </c>
      <c r="E129" s="502">
        <v>0.39500000000000002</v>
      </c>
      <c r="F129" s="503">
        <v>3.6999999999999998E-2</v>
      </c>
      <c r="G129" s="508">
        <v>85.52</v>
      </c>
      <c r="H129" s="508">
        <v>1.44</v>
      </c>
      <c r="I129" s="400">
        <v>2.36</v>
      </c>
      <c r="J129" s="499">
        <v>0.04</v>
      </c>
      <c r="K129" s="1"/>
    </row>
    <row r="130" spans="1:11" ht="35.049999999999997" customHeight="1" x14ac:dyDescent="0.3">
      <c r="A130" s="398" t="s">
        <v>878</v>
      </c>
      <c r="B130" s="17" t="s">
        <v>480</v>
      </c>
      <c r="C130" s="406">
        <v>0</v>
      </c>
      <c r="D130" s="501">
        <v>2.2469999999999999</v>
      </c>
      <c r="E130" s="502">
        <v>0.39500000000000002</v>
      </c>
      <c r="F130" s="503">
        <v>3.6999999999999998E-2</v>
      </c>
      <c r="G130" s="508">
        <v>172.53</v>
      </c>
      <c r="H130" s="508">
        <v>1.44</v>
      </c>
      <c r="I130" s="400">
        <v>2.36</v>
      </c>
      <c r="J130" s="499">
        <v>0.04</v>
      </c>
      <c r="K130" s="1"/>
    </row>
    <row r="131" spans="1:11" ht="35.049999999999997" customHeight="1" x14ac:dyDescent="0.3">
      <c r="A131" s="398" t="s">
        <v>879</v>
      </c>
      <c r="B131" s="17" t="s">
        <v>480</v>
      </c>
      <c r="C131" s="406">
        <v>0</v>
      </c>
      <c r="D131" s="501">
        <v>2.2469999999999999</v>
      </c>
      <c r="E131" s="502">
        <v>0.39500000000000002</v>
      </c>
      <c r="F131" s="503">
        <v>3.6999999999999998E-2</v>
      </c>
      <c r="G131" s="508">
        <v>264.19</v>
      </c>
      <c r="H131" s="508">
        <v>1.44</v>
      </c>
      <c r="I131" s="400">
        <v>2.36</v>
      </c>
      <c r="J131" s="499">
        <v>0.04</v>
      </c>
      <c r="K131" s="1"/>
    </row>
    <row r="132" spans="1:11" ht="35.049999999999997" customHeight="1" x14ac:dyDescent="0.3">
      <c r="A132" s="398" t="s">
        <v>880</v>
      </c>
      <c r="B132" s="17" t="s">
        <v>480</v>
      </c>
      <c r="C132" s="406">
        <v>0</v>
      </c>
      <c r="D132" s="501">
        <v>2.2469999999999999</v>
      </c>
      <c r="E132" s="502">
        <v>0.39500000000000002</v>
      </c>
      <c r="F132" s="503">
        <v>3.6999999999999998E-2</v>
      </c>
      <c r="G132" s="508">
        <v>524.70000000000005</v>
      </c>
      <c r="H132" s="508">
        <v>1.44</v>
      </c>
      <c r="I132" s="400">
        <v>2.36</v>
      </c>
      <c r="J132" s="499">
        <v>0.04</v>
      </c>
      <c r="K132" s="1"/>
    </row>
    <row r="133" spans="1:11" ht="35.049999999999997" customHeight="1" x14ac:dyDescent="0.3">
      <c r="A133" s="398" t="s">
        <v>881</v>
      </c>
      <c r="B133" s="17" t="s">
        <v>480</v>
      </c>
      <c r="C133" s="406">
        <v>0</v>
      </c>
      <c r="D133" s="501">
        <v>1.8640000000000001</v>
      </c>
      <c r="E133" s="502">
        <v>0.27700000000000002</v>
      </c>
      <c r="F133" s="503">
        <v>2.8000000000000001E-2</v>
      </c>
      <c r="G133" s="508">
        <v>69.97</v>
      </c>
      <c r="H133" s="508">
        <v>1.65</v>
      </c>
      <c r="I133" s="400">
        <v>2.86</v>
      </c>
      <c r="J133" s="499">
        <v>2.8000000000000001E-2</v>
      </c>
      <c r="K133" s="1"/>
    </row>
    <row r="134" spans="1:11" ht="35.049999999999997" customHeight="1" x14ac:dyDescent="0.3">
      <c r="A134" s="398" t="s">
        <v>882</v>
      </c>
      <c r="B134" s="17" t="s">
        <v>480</v>
      </c>
      <c r="C134" s="406">
        <v>0</v>
      </c>
      <c r="D134" s="501">
        <v>1.8640000000000001</v>
      </c>
      <c r="E134" s="502">
        <v>0.27700000000000002</v>
      </c>
      <c r="F134" s="503">
        <v>2.8000000000000001E-2</v>
      </c>
      <c r="G134" s="508">
        <v>504.74</v>
      </c>
      <c r="H134" s="508">
        <v>1.65</v>
      </c>
      <c r="I134" s="400">
        <v>2.86</v>
      </c>
      <c r="J134" s="499">
        <v>2.8000000000000001E-2</v>
      </c>
      <c r="K134" s="1"/>
    </row>
    <row r="135" spans="1:11" ht="35.049999999999997" customHeight="1" x14ac:dyDescent="0.3">
      <c r="A135" s="398" t="s">
        <v>883</v>
      </c>
      <c r="B135" s="17" t="s">
        <v>480</v>
      </c>
      <c r="C135" s="406">
        <v>0</v>
      </c>
      <c r="D135" s="501">
        <v>1.8640000000000001</v>
      </c>
      <c r="E135" s="502">
        <v>0.27700000000000002</v>
      </c>
      <c r="F135" s="503">
        <v>2.8000000000000001E-2</v>
      </c>
      <c r="G135" s="508">
        <v>1491.1</v>
      </c>
      <c r="H135" s="508">
        <v>1.65</v>
      </c>
      <c r="I135" s="400">
        <v>2.86</v>
      </c>
      <c r="J135" s="499">
        <v>2.8000000000000001E-2</v>
      </c>
      <c r="K135" s="1"/>
    </row>
    <row r="136" spans="1:11" ht="35.049999999999997" customHeight="1" x14ac:dyDescent="0.3">
      <c r="A136" s="398" t="s">
        <v>884</v>
      </c>
      <c r="B136" s="17" t="s">
        <v>480</v>
      </c>
      <c r="C136" s="406">
        <v>0</v>
      </c>
      <c r="D136" s="501">
        <v>1.8640000000000001</v>
      </c>
      <c r="E136" s="502">
        <v>0.27700000000000002</v>
      </c>
      <c r="F136" s="503">
        <v>2.8000000000000001E-2</v>
      </c>
      <c r="G136" s="508">
        <v>3049</v>
      </c>
      <c r="H136" s="508">
        <v>1.65</v>
      </c>
      <c r="I136" s="400">
        <v>2.86</v>
      </c>
      <c r="J136" s="499">
        <v>2.8000000000000001E-2</v>
      </c>
      <c r="K136" s="1"/>
    </row>
    <row r="137" spans="1:11" ht="35.049999999999997" customHeight="1" x14ac:dyDescent="0.3">
      <c r="A137" s="398" t="s">
        <v>885</v>
      </c>
      <c r="B137" s="17" t="s">
        <v>480</v>
      </c>
      <c r="C137" s="406">
        <v>0</v>
      </c>
      <c r="D137" s="501">
        <v>1.8640000000000001</v>
      </c>
      <c r="E137" s="502">
        <v>0.27700000000000002</v>
      </c>
      <c r="F137" s="503">
        <v>2.8000000000000001E-2</v>
      </c>
      <c r="G137" s="508">
        <v>7017.13</v>
      </c>
      <c r="H137" s="508">
        <v>1.65</v>
      </c>
      <c r="I137" s="400">
        <v>2.86</v>
      </c>
      <c r="J137" s="499">
        <v>2.8000000000000001E-2</v>
      </c>
      <c r="K137" s="1"/>
    </row>
    <row r="138" spans="1:11" ht="35.049999999999997" customHeight="1" x14ac:dyDescent="0.3">
      <c r="A138" s="398" t="s">
        <v>591</v>
      </c>
      <c r="B138" s="17" t="s">
        <v>480</v>
      </c>
      <c r="C138" s="406" t="s">
        <v>616</v>
      </c>
      <c r="D138" s="504">
        <v>5.6070000000000002</v>
      </c>
      <c r="E138" s="505">
        <v>1.1890000000000001</v>
      </c>
      <c r="F138" s="503">
        <v>0.88300000000000001</v>
      </c>
      <c r="G138" s="509"/>
      <c r="H138" s="509"/>
      <c r="I138" s="399"/>
      <c r="J138" s="500"/>
      <c r="K138" s="1"/>
    </row>
    <row r="139" spans="1:11" ht="35.049999999999997" customHeight="1" x14ac:dyDescent="0.3">
      <c r="A139" s="398" t="s">
        <v>701</v>
      </c>
      <c r="B139" s="17" t="s">
        <v>480</v>
      </c>
      <c r="C139" s="406" t="s">
        <v>621</v>
      </c>
      <c r="D139" s="501">
        <v>-2.7869999999999999</v>
      </c>
      <c r="E139" s="502">
        <v>-0.57999999999999996</v>
      </c>
      <c r="F139" s="503">
        <v>-5.1999999999999998E-2</v>
      </c>
      <c r="G139" s="508">
        <v>0</v>
      </c>
      <c r="H139" s="509"/>
      <c r="I139" s="399"/>
      <c r="J139" s="500"/>
      <c r="K139" s="1"/>
    </row>
    <row r="140" spans="1:11" ht="35.049999999999997" customHeight="1" x14ac:dyDescent="0.3">
      <c r="A140" s="398" t="s">
        <v>702</v>
      </c>
      <c r="B140" s="17" t="s">
        <v>480</v>
      </c>
      <c r="C140" s="406" t="s">
        <v>621</v>
      </c>
      <c r="D140" s="501">
        <v>-2.7149999999999999</v>
      </c>
      <c r="E140" s="502">
        <v>-0.53</v>
      </c>
      <c r="F140" s="503">
        <v>-4.8000000000000001E-2</v>
      </c>
      <c r="G140" s="508">
        <v>0</v>
      </c>
      <c r="H140" s="509"/>
      <c r="I140" s="399"/>
      <c r="J140" s="500"/>
      <c r="K140" s="1"/>
    </row>
    <row r="141" spans="1:11" ht="35.049999999999997" customHeight="1" x14ac:dyDescent="0.3">
      <c r="A141" s="398" t="s">
        <v>703</v>
      </c>
      <c r="B141" s="17" t="s">
        <v>480</v>
      </c>
      <c r="C141" s="406">
        <v>0</v>
      </c>
      <c r="D141" s="501">
        <v>-2.7869999999999999</v>
      </c>
      <c r="E141" s="502">
        <v>-0.57999999999999996</v>
      </c>
      <c r="F141" s="503">
        <v>-5.1999999999999998E-2</v>
      </c>
      <c r="G141" s="508">
        <v>0</v>
      </c>
      <c r="H141" s="509"/>
      <c r="I141" s="399"/>
      <c r="J141" s="499">
        <v>5.0999999999999997E-2</v>
      </c>
    </row>
    <row r="142" spans="1:11" ht="35.049999999999997" customHeight="1" x14ac:dyDescent="0.3">
      <c r="A142" s="398" t="s">
        <v>704</v>
      </c>
      <c r="B142" s="17" t="s">
        <v>480</v>
      </c>
      <c r="C142" s="406">
        <v>0</v>
      </c>
      <c r="D142" s="501">
        <v>-2.7149999999999999</v>
      </c>
      <c r="E142" s="502">
        <v>-0.53</v>
      </c>
      <c r="F142" s="503">
        <v>-4.8000000000000001E-2</v>
      </c>
      <c r="G142" s="508">
        <v>0</v>
      </c>
      <c r="H142" s="509"/>
      <c r="I142" s="399"/>
      <c r="J142" s="499">
        <v>0.05</v>
      </c>
    </row>
    <row r="143" spans="1:11" ht="35.049999999999997" customHeight="1" x14ac:dyDescent="0.3">
      <c r="A143" s="398" t="s">
        <v>705</v>
      </c>
      <c r="B143" s="17" t="s">
        <v>480</v>
      </c>
      <c r="C143" s="406">
        <v>0</v>
      </c>
      <c r="D143" s="501">
        <v>-3.1259999999999999</v>
      </c>
      <c r="E143" s="502">
        <v>-0.52900000000000003</v>
      </c>
      <c r="F143" s="503">
        <v>-5.0999999999999997E-2</v>
      </c>
      <c r="G143" s="508">
        <v>7.09</v>
      </c>
      <c r="H143" s="509"/>
      <c r="I143" s="399"/>
      <c r="J143" s="499">
        <v>5.5E-2</v>
      </c>
    </row>
    <row r="144" spans="1:11" ht="35.049999999999997" customHeight="1" x14ac:dyDescent="0.3">
      <c r="A144" s="398" t="s">
        <v>886</v>
      </c>
      <c r="B144" s="17" t="s">
        <v>480</v>
      </c>
      <c r="C144" s="406" t="s">
        <v>647</v>
      </c>
      <c r="D144" s="501">
        <v>1.8680000000000001</v>
      </c>
      <c r="E144" s="502">
        <v>0.38900000000000001</v>
      </c>
      <c r="F144" s="503">
        <v>3.5000000000000003E-2</v>
      </c>
      <c r="G144" s="508">
        <v>5.0199999999999996</v>
      </c>
      <c r="H144" s="509"/>
      <c r="I144" s="399"/>
      <c r="J144" s="500"/>
    </row>
    <row r="145" spans="1:10" ht="35.049999999999997" customHeight="1" x14ac:dyDescent="0.3">
      <c r="A145" s="398" t="s">
        <v>887</v>
      </c>
      <c r="B145" s="17" t="s">
        <v>480</v>
      </c>
      <c r="C145" s="406" t="s">
        <v>575</v>
      </c>
      <c r="D145" s="501">
        <v>1.8680000000000001</v>
      </c>
      <c r="E145" s="502">
        <v>0.38900000000000001</v>
      </c>
      <c r="F145" s="503">
        <v>3.5000000000000003E-2</v>
      </c>
      <c r="G145" s="509"/>
      <c r="H145" s="509"/>
      <c r="I145" s="399"/>
      <c r="J145" s="500"/>
    </row>
    <row r="146" spans="1:10" ht="35.049999999999997" customHeight="1" x14ac:dyDescent="0.3">
      <c r="A146" s="398" t="s">
        <v>888</v>
      </c>
      <c r="B146" s="17" t="s">
        <v>480</v>
      </c>
      <c r="C146" s="406" t="s">
        <v>648</v>
      </c>
      <c r="D146" s="501">
        <v>1.897</v>
      </c>
      <c r="E146" s="502">
        <v>0.39500000000000002</v>
      </c>
      <c r="F146" s="503">
        <v>3.5000000000000003E-2</v>
      </c>
      <c r="G146" s="508">
        <v>1.1100000000000001</v>
      </c>
      <c r="H146" s="509"/>
      <c r="I146" s="399"/>
      <c r="J146" s="500"/>
    </row>
    <row r="147" spans="1:10" ht="35.049999999999997" customHeight="1" x14ac:dyDescent="0.3">
      <c r="A147" s="398" t="s">
        <v>889</v>
      </c>
      <c r="B147" s="17" t="s">
        <v>480</v>
      </c>
      <c r="C147" s="406" t="s">
        <v>648</v>
      </c>
      <c r="D147" s="501">
        <v>1.897</v>
      </c>
      <c r="E147" s="502">
        <v>0.39500000000000002</v>
      </c>
      <c r="F147" s="503">
        <v>3.5000000000000003E-2</v>
      </c>
      <c r="G147" s="508">
        <v>1.68</v>
      </c>
      <c r="H147" s="509"/>
      <c r="I147" s="399"/>
      <c r="J147" s="500"/>
    </row>
    <row r="148" spans="1:10" ht="35.049999999999997" customHeight="1" x14ac:dyDescent="0.3">
      <c r="A148" s="398" t="s">
        <v>890</v>
      </c>
      <c r="B148" s="17" t="s">
        <v>480</v>
      </c>
      <c r="C148" s="406" t="s">
        <v>648</v>
      </c>
      <c r="D148" s="501">
        <v>1.897</v>
      </c>
      <c r="E148" s="502">
        <v>0.39500000000000002</v>
      </c>
      <c r="F148" s="503">
        <v>3.5000000000000003E-2</v>
      </c>
      <c r="G148" s="508">
        <v>3.9</v>
      </c>
      <c r="H148" s="509"/>
      <c r="I148" s="399"/>
      <c r="J148" s="500"/>
    </row>
    <row r="149" spans="1:10" ht="35.049999999999997" customHeight="1" x14ac:dyDescent="0.3">
      <c r="A149" s="398" t="s">
        <v>891</v>
      </c>
      <c r="B149" s="17" t="s">
        <v>480</v>
      </c>
      <c r="C149" s="406" t="s">
        <v>648</v>
      </c>
      <c r="D149" s="501">
        <v>1.897</v>
      </c>
      <c r="E149" s="502">
        <v>0.39500000000000002</v>
      </c>
      <c r="F149" s="503">
        <v>3.5000000000000003E-2</v>
      </c>
      <c r="G149" s="508">
        <v>8.02</v>
      </c>
      <c r="H149" s="509"/>
      <c r="I149" s="399"/>
      <c r="J149" s="500"/>
    </row>
    <row r="150" spans="1:10" ht="35.049999999999997" customHeight="1" x14ac:dyDescent="0.3">
      <c r="A150" s="398" t="s">
        <v>892</v>
      </c>
      <c r="B150" s="17" t="s">
        <v>480</v>
      </c>
      <c r="C150" s="406" t="s">
        <v>648</v>
      </c>
      <c r="D150" s="501">
        <v>1.897</v>
      </c>
      <c r="E150" s="502">
        <v>0.39500000000000002</v>
      </c>
      <c r="F150" s="503">
        <v>3.5000000000000003E-2</v>
      </c>
      <c r="G150" s="508">
        <v>22.61</v>
      </c>
      <c r="H150" s="509"/>
      <c r="I150" s="399"/>
      <c r="J150" s="500"/>
    </row>
    <row r="151" spans="1:10" ht="35.049999999999997" customHeight="1" x14ac:dyDescent="0.3">
      <c r="A151" s="398" t="s">
        <v>592</v>
      </c>
      <c r="B151" s="17" t="s">
        <v>480</v>
      </c>
      <c r="C151" s="406" t="s">
        <v>577</v>
      </c>
      <c r="D151" s="501">
        <v>1.897</v>
      </c>
      <c r="E151" s="502">
        <v>0.39500000000000002</v>
      </c>
      <c r="F151" s="503">
        <v>3.5000000000000003E-2</v>
      </c>
      <c r="G151" s="509"/>
      <c r="H151" s="509"/>
      <c r="I151" s="399"/>
      <c r="J151" s="500"/>
    </row>
    <row r="152" spans="1:10" ht="35.049999999999997" customHeight="1" x14ac:dyDescent="0.3">
      <c r="A152" s="398" t="s">
        <v>893</v>
      </c>
      <c r="B152" s="17" t="s">
        <v>480</v>
      </c>
      <c r="C152" s="406">
        <v>0</v>
      </c>
      <c r="D152" s="501">
        <v>1.3560000000000001</v>
      </c>
      <c r="E152" s="502">
        <v>0.26</v>
      </c>
      <c r="F152" s="503">
        <v>2.4E-2</v>
      </c>
      <c r="G152" s="508">
        <v>4.1900000000000004</v>
      </c>
      <c r="H152" s="508">
        <v>0.68</v>
      </c>
      <c r="I152" s="400">
        <v>0.99</v>
      </c>
      <c r="J152" s="499">
        <v>2.7E-2</v>
      </c>
    </row>
    <row r="153" spans="1:10" ht="35.049999999999997" customHeight="1" x14ac:dyDescent="0.3">
      <c r="A153" s="398" t="s">
        <v>894</v>
      </c>
      <c r="B153" s="17" t="s">
        <v>480</v>
      </c>
      <c r="C153" s="406">
        <v>0</v>
      </c>
      <c r="D153" s="501">
        <v>1.3560000000000001</v>
      </c>
      <c r="E153" s="502">
        <v>0.26</v>
      </c>
      <c r="F153" s="503">
        <v>2.4E-2</v>
      </c>
      <c r="G153" s="508">
        <v>32.46</v>
      </c>
      <c r="H153" s="508">
        <v>0.68</v>
      </c>
      <c r="I153" s="400">
        <v>0.99</v>
      </c>
      <c r="J153" s="499">
        <v>2.7E-2</v>
      </c>
    </row>
    <row r="154" spans="1:10" ht="35.049999999999997" customHeight="1" x14ac:dyDescent="0.3">
      <c r="A154" s="398" t="s">
        <v>895</v>
      </c>
      <c r="B154" s="17" t="s">
        <v>480</v>
      </c>
      <c r="C154" s="406">
        <v>0</v>
      </c>
      <c r="D154" s="501">
        <v>1.3560000000000001</v>
      </c>
      <c r="E154" s="502">
        <v>0.26</v>
      </c>
      <c r="F154" s="503">
        <v>2.4E-2</v>
      </c>
      <c r="G154" s="508">
        <v>74.67</v>
      </c>
      <c r="H154" s="508">
        <v>0.68</v>
      </c>
      <c r="I154" s="400">
        <v>0.99</v>
      </c>
      <c r="J154" s="499">
        <v>2.7E-2</v>
      </c>
    </row>
    <row r="155" spans="1:10" ht="35.049999999999997" customHeight="1" x14ac:dyDescent="0.3">
      <c r="A155" s="398" t="s">
        <v>896</v>
      </c>
      <c r="B155" s="17" t="s">
        <v>480</v>
      </c>
      <c r="C155" s="406">
        <v>0</v>
      </c>
      <c r="D155" s="501">
        <v>1.3560000000000001</v>
      </c>
      <c r="E155" s="502">
        <v>0.26</v>
      </c>
      <c r="F155" s="503">
        <v>2.4E-2</v>
      </c>
      <c r="G155" s="508">
        <v>119.15</v>
      </c>
      <c r="H155" s="508">
        <v>0.68</v>
      </c>
      <c r="I155" s="400">
        <v>0.99</v>
      </c>
      <c r="J155" s="499">
        <v>2.7E-2</v>
      </c>
    </row>
    <row r="156" spans="1:10" ht="35.049999999999997" customHeight="1" x14ac:dyDescent="0.3">
      <c r="A156" s="398" t="s">
        <v>897</v>
      </c>
      <c r="B156" s="17" t="s">
        <v>480</v>
      </c>
      <c r="C156" s="406">
        <v>0</v>
      </c>
      <c r="D156" s="501">
        <v>1.3560000000000001</v>
      </c>
      <c r="E156" s="502">
        <v>0.26</v>
      </c>
      <c r="F156" s="503">
        <v>2.4E-2</v>
      </c>
      <c r="G156" s="508">
        <v>245.54</v>
      </c>
      <c r="H156" s="508">
        <v>0.68</v>
      </c>
      <c r="I156" s="400">
        <v>0.99</v>
      </c>
      <c r="J156" s="499">
        <v>2.7E-2</v>
      </c>
    </row>
    <row r="157" spans="1:10" ht="35.049999999999997" customHeight="1" x14ac:dyDescent="0.3">
      <c r="A157" s="398" t="s">
        <v>898</v>
      </c>
      <c r="B157" s="17" t="s">
        <v>480</v>
      </c>
      <c r="C157" s="406">
        <v>0</v>
      </c>
      <c r="D157" s="501">
        <v>1.6930000000000001</v>
      </c>
      <c r="E157" s="502">
        <v>0.29699999999999999</v>
      </c>
      <c r="F157" s="503">
        <v>2.8000000000000001E-2</v>
      </c>
      <c r="G157" s="508">
        <v>20.56</v>
      </c>
      <c r="H157" s="508">
        <v>1.08</v>
      </c>
      <c r="I157" s="400">
        <v>1.78</v>
      </c>
      <c r="J157" s="499">
        <v>0.03</v>
      </c>
    </row>
    <row r="158" spans="1:10" ht="35.049999999999997" customHeight="1" x14ac:dyDescent="0.3">
      <c r="A158" s="398" t="s">
        <v>899</v>
      </c>
      <c r="B158" s="17" t="s">
        <v>480</v>
      </c>
      <c r="C158" s="406">
        <v>0</v>
      </c>
      <c r="D158" s="501">
        <v>1.6930000000000001</v>
      </c>
      <c r="E158" s="502">
        <v>0.29699999999999999</v>
      </c>
      <c r="F158" s="503">
        <v>2.8000000000000001E-2</v>
      </c>
      <c r="G158" s="508">
        <v>64.45</v>
      </c>
      <c r="H158" s="508">
        <v>1.08</v>
      </c>
      <c r="I158" s="400">
        <v>1.78</v>
      </c>
      <c r="J158" s="499">
        <v>0.03</v>
      </c>
    </row>
    <row r="159" spans="1:10" ht="35.049999999999997" customHeight="1" x14ac:dyDescent="0.3">
      <c r="A159" s="398" t="s">
        <v>900</v>
      </c>
      <c r="B159" s="17" t="s">
        <v>480</v>
      </c>
      <c r="C159" s="406">
        <v>0</v>
      </c>
      <c r="D159" s="501">
        <v>1.6930000000000001</v>
      </c>
      <c r="E159" s="502">
        <v>0.29699999999999999</v>
      </c>
      <c r="F159" s="503">
        <v>2.8000000000000001E-2</v>
      </c>
      <c r="G159" s="508">
        <v>129.99</v>
      </c>
      <c r="H159" s="508">
        <v>1.08</v>
      </c>
      <c r="I159" s="400">
        <v>1.78</v>
      </c>
      <c r="J159" s="499">
        <v>0.03</v>
      </c>
    </row>
    <row r="160" spans="1:10" ht="35.049999999999997" customHeight="1" x14ac:dyDescent="0.3">
      <c r="A160" s="398" t="s">
        <v>901</v>
      </c>
      <c r="B160" s="17" t="s">
        <v>480</v>
      </c>
      <c r="C160" s="406">
        <v>0</v>
      </c>
      <c r="D160" s="501">
        <v>1.6930000000000001</v>
      </c>
      <c r="E160" s="502">
        <v>0.29699999999999999</v>
      </c>
      <c r="F160" s="503">
        <v>2.8000000000000001E-2</v>
      </c>
      <c r="G160" s="508">
        <v>199.05</v>
      </c>
      <c r="H160" s="508">
        <v>1.08</v>
      </c>
      <c r="I160" s="400">
        <v>1.78</v>
      </c>
      <c r="J160" s="499">
        <v>0.03</v>
      </c>
    </row>
    <row r="161" spans="1:10" ht="35.049999999999997" customHeight="1" x14ac:dyDescent="0.3">
      <c r="A161" s="398" t="s">
        <v>902</v>
      </c>
      <c r="B161" s="17" t="s">
        <v>480</v>
      </c>
      <c r="C161" s="406">
        <v>0</v>
      </c>
      <c r="D161" s="501">
        <v>1.6930000000000001</v>
      </c>
      <c r="E161" s="502">
        <v>0.29699999999999999</v>
      </c>
      <c r="F161" s="503">
        <v>2.8000000000000001E-2</v>
      </c>
      <c r="G161" s="508">
        <v>395.29</v>
      </c>
      <c r="H161" s="508">
        <v>1.08</v>
      </c>
      <c r="I161" s="400">
        <v>1.78</v>
      </c>
      <c r="J161" s="499">
        <v>0.03</v>
      </c>
    </row>
    <row r="162" spans="1:10" ht="35.049999999999997" customHeight="1" x14ac:dyDescent="0.3">
      <c r="A162" s="398" t="s">
        <v>903</v>
      </c>
      <c r="B162" s="17" t="s">
        <v>480</v>
      </c>
      <c r="C162" s="406">
        <v>0</v>
      </c>
      <c r="D162" s="501">
        <v>1.4039999999999999</v>
      </c>
      <c r="E162" s="502">
        <v>0.20899999999999999</v>
      </c>
      <c r="F162" s="503">
        <v>2.1000000000000001E-2</v>
      </c>
      <c r="G162" s="508">
        <v>52.74</v>
      </c>
      <c r="H162" s="508">
        <v>1.24</v>
      </c>
      <c r="I162" s="400">
        <v>2.16</v>
      </c>
      <c r="J162" s="499">
        <v>2.1000000000000001E-2</v>
      </c>
    </row>
    <row r="163" spans="1:10" ht="35.049999999999997" customHeight="1" x14ac:dyDescent="0.3">
      <c r="A163" s="398" t="s">
        <v>904</v>
      </c>
      <c r="B163" s="17" t="s">
        <v>480</v>
      </c>
      <c r="C163" s="406">
        <v>0</v>
      </c>
      <c r="D163" s="501">
        <v>1.4039999999999999</v>
      </c>
      <c r="E163" s="502">
        <v>0.20899999999999999</v>
      </c>
      <c r="F163" s="503">
        <v>2.1000000000000001E-2</v>
      </c>
      <c r="G163" s="508">
        <v>380.25</v>
      </c>
      <c r="H163" s="508">
        <v>1.24</v>
      </c>
      <c r="I163" s="400">
        <v>2.16</v>
      </c>
      <c r="J163" s="499">
        <v>2.1000000000000001E-2</v>
      </c>
    </row>
    <row r="164" spans="1:10" ht="35.049999999999997" customHeight="1" x14ac:dyDescent="0.3">
      <c r="A164" s="398" t="s">
        <v>905</v>
      </c>
      <c r="B164" s="17" t="s">
        <v>480</v>
      </c>
      <c r="C164" s="406">
        <v>0</v>
      </c>
      <c r="D164" s="501">
        <v>1.4039999999999999</v>
      </c>
      <c r="E164" s="502">
        <v>0.20899999999999999</v>
      </c>
      <c r="F164" s="503">
        <v>2.1000000000000001E-2</v>
      </c>
      <c r="G164" s="508">
        <v>1123.28</v>
      </c>
      <c r="H164" s="508">
        <v>1.24</v>
      </c>
      <c r="I164" s="400">
        <v>2.16</v>
      </c>
      <c r="J164" s="499">
        <v>2.1000000000000001E-2</v>
      </c>
    </row>
    <row r="165" spans="1:10" ht="35.049999999999997" customHeight="1" x14ac:dyDescent="0.3">
      <c r="A165" s="398" t="s">
        <v>906</v>
      </c>
      <c r="B165" s="17" t="s">
        <v>480</v>
      </c>
      <c r="C165" s="406">
        <v>0</v>
      </c>
      <c r="D165" s="501">
        <v>1.4039999999999999</v>
      </c>
      <c r="E165" s="502">
        <v>0.20899999999999999</v>
      </c>
      <c r="F165" s="503">
        <v>2.1000000000000001E-2</v>
      </c>
      <c r="G165" s="508">
        <v>2296.86</v>
      </c>
      <c r="H165" s="508">
        <v>1.24</v>
      </c>
      <c r="I165" s="400">
        <v>2.16</v>
      </c>
      <c r="J165" s="499">
        <v>2.1000000000000001E-2</v>
      </c>
    </row>
    <row r="166" spans="1:10" ht="35.049999999999997" customHeight="1" x14ac:dyDescent="0.3">
      <c r="A166" s="398" t="s">
        <v>907</v>
      </c>
      <c r="B166" s="17" t="s">
        <v>480</v>
      </c>
      <c r="C166" s="406">
        <v>0</v>
      </c>
      <c r="D166" s="501">
        <v>1.4039999999999999</v>
      </c>
      <c r="E166" s="502">
        <v>0.20899999999999999</v>
      </c>
      <c r="F166" s="503">
        <v>2.1000000000000001E-2</v>
      </c>
      <c r="G166" s="508">
        <v>5286.07</v>
      </c>
      <c r="H166" s="508">
        <v>1.24</v>
      </c>
      <c r="I166" s="400">
        <v>2.16</v>
      </c>
      <c r="J166" s="499">
        <v>2.1000000000000001E-2</v>
      </c>
    </row>
    <row r="167" spans="1:10" ht="35.049999999999997" customHeight="1" x14ac:dyDescent="0.3">
      <c r="A167" s="398" t="s">
        <v>593</v>
      </c>
      <c r="B167" s="17" t="s">
        <v>480</v>
      </c>
      <c r="C167" s="406" t="s">
        <v>616</v>
      </c>
      <c r="D167" s="504">
        <v>4.2240000000000002</v>
      </c>
      <c r="E167" s="505">
        <v>0.89600000000000002</v>
      </c>
      <c r="F167" s="503">
        <v>0.66500000000000004</v>
      </c>
      <c r="G167" s="509"/>
      <c r="H167" s="509"/>
      <c r="I167" s="399"/>
      <c r="J167" s="500"/>
    </row>
    <row r="168" spans="1:10" ht="35.049999999999997" customHeight="1" x14ac:dyDescent="0.3">
      <c r="A168" s="398" t="s">
        <v>706</v>
      </c>
      <c r="B168" s="17" t="s">
        <v>480</v>
      </c>
      <c r="C168" s="406" t="s">
        <v>621</v>
      </c>
      <c r="D168" s="501">
        <v>-2.0990000000000002</v>
      </c>
      <c r="E168" s="502">
        <v>-0.437</v>
      </c>
      <c r="F168" s="503">
        <v>-3.9E-2</v>
      </c>
      <c r="G168" s="508">
        <v>0</v>
      </c>
      <c r="H168" s="509"/>
      <c r="I168" s="399"/>
      <c r="J168" s="500"/>
    </row>
    <row r="169" spans="1:10" ht="35.049999999999997" customHeight="1" x14ac:dyDescent="0.3">
      <c r="A169" s="398" t="s">
        <v>707</v>
      </c>
      <c r="B169" s="17" t="s">
        <v>480</v>
      </c>
      <c r="C169" s="406" t="s">
        <v>621</v>
      </c>
      <c r="D169" s="501">
        <v>-2.0449999999999999</v>
      </c>
      <c r="E169" s="502">
        <v>-0.4</v>
      </c>
      <c r="F169" s="503">
        <v>-3.5999999999999997E-2</v>
      </c>
      <c r="G169" s="508">
        <v>0</v>
      </c>
      <c r="H169" s="509"/>
      <c r="I169" s="399"/>
      <c r="J169" s="500"/>
    </row>
    <row r="170" spans="1:10" ht="35.049999999999997" customHeight="1" x14ac:dyDescent="0.3">
      <c r="A170" s="398" t="s">
        <v>708</v>
      </c>
      <c r="B170" s="17" t="s">
        <v>480</v>
      </c>
      <c r="C170" s="406">
        <v>0</v>
      </c>
      <c r="D170" s="501">
        <v>-2.0990000000000002</v>
      </c>
      <c r="E170" s="502">
        <v>-0.437</v>
      </c>
      <c r="F170" s="503">
        <v>-3.9E-2</v>
      </c>
      <c r="G170" s="508">
        <v>0</v>
      </c>
      <c r="H170" s="509"/>
      <c r="I170" s="399"/>
      <c r="J170" s="499">
        <v>3.9E-2</v>
      </c>
    </row>
    <row r="171" spans="1:10" ht="35.049999999999997" customHeight="1" x14ac:dyDescent="0.3">
      <c r="A171" s="398" t="s">
        <v>709</v>
      </c>
      <c r="B171" s="17" t="s">
        <v>480</v>
      </c>
      <c r="C171" s="406">
        <v>0</v>
      </c>
      <c r="D171" s="501">
        <v>-2.0449999999999999</v>
      </c>
      <c r="E171" s="502">
        <v>-0.4</v>
      </c>
      <c r="F171" s="503">
        <v>-3.5999999999999997E-2</v>
      </c>
      <c r="G171" s="508">
        <v>0</v>
      </c>
      <c r="H171" s="509"/>
      <c r="I171" s="399"/>
      <c r="J171" s="499">
        <v>3.7999999999999999E-2</v>
      </c>
    </row>
    <row r="172" spans="1:10" ht="35.049999999999997" customHeight="1" x14ac:dyDescent="0.3">
      <c r="A172" s="398" t="s">
        <v>710</v>
      </c>
      <c r="B172" s="17" t="s">
        <v>480</v>
      </c>
      <c r="C172" s="406">
        <v>0</v>
      </c>
      <c r="D172" s="501">
        <v>-2.355</v>
      </c>
      <c r="E172" s="502">
        <v>-0.39900000000000002</v>
      </c>
      <c r="F172" s="503">
        <v>-3.7999999999999999E-2</v>
      </c>
      <c r="G172" s="508">
        <v>5.34</v>
      </c>
      <c r="H172" s="509"/>
      <c r="I172" s="399"/>
      <c r="J172" s="499">
        <v>4.2000000000000003E-2</v>
      </c>
    </row>
    <row r="173" spans="1:10" ht="35.049999999999997" customHeight="1" x14ac:dyDescent="0.3">
      <c r="A173" s="398" t="s">
        <v>908</v>
      </c>
      <c r="B173" s="17" t="s">
        <v>480</v>
      </c>
      <c r="C173" s="406" t="s">
        <v>647</v>
      </c>
      <c r="D173" s="501">
        <v>0.66700000000000004</v>
      </c>
      <c r="E173" s="502">
        <v>0.13900000000000001</v>
      </c>
      <c r="F173" s="503">
        <v>1.2E-2</v>
      </c>
      <c r="G173" s="508">
        <v>3.61</v>
      </c>
      <c r="H173" s="509"/>
      <c r="I173" s="399"/>
      <c r="J173" s="500"/>
    </row>
    <row r="174" spans="1:10" ht="35.049999999999997" customHeight="1" x14ac:dyDescent="0.3">
      <c r="A174" s="398" t="s">
        <v>909</v>
      </c>
      <c r="B174" s="17" t="s">
        <v>480</v>
      </c>
      <c r="C174" s="406" t="s">
        <v>575</v>
      </c>
      <c r="D174" s="501">
        <v>0.66700000000000004</v>
      </c>
      <c r="E174" s="502">
        <v>0.13900000000000001</v>
      </c>
      <c r="F174" s="503">
        <v>1.2E-2</v>
      </c>
      <c r="G174" s="509"/>
      <c r="H174" s="509"/>
      <c r="I174" s="399"/>
      <c r="J174" s="500"/>
    </row>
    <row r="175" spans="1:10" ht="35.049999999999997" customHeight="1" x14ac:dyDescent="0.3">
      <c r="A175" s="398" t="s">
        <v>910</v>
      </c>
      <c r="B175" s="17" t="s">
        <v>480</v>
      </c>
      <c r="C175" s="406" t="s">
        <v>648</v>
      </c>
      <c r="D175" s="501">
        <v>0.67700000000000005</v>
      </c>
      <c r="E175" s="502">
        <v>0.14099999999999999</v>
      </c>
      <c r="F175" s="503">
        <v>1.2999999999999999E-2</v>
      </c>
      <c r="G175" s="508">
        <v>0.47</v>
      </c>
      <c r="H175" s="509"/>
      <c r="I175" s="399"/>
      <c r="J175" s="500"/>
    </row>
    <row r="176" spans="1:10" ht="35.049999999999997" customHeight="1" x14ac:dyDescent="0.3">
      <c r="A176" s="398" t="s">
        <v>911</v>
      </c>
      <c r="B176" s="17" t="s">
        <v>480</v>
      </c>
      <c r="C176" s="406" t="s">
        <v>648</v>
      </c>
      <c r="D176" s="501">
        <v>0.67700000000000005</v>
      </c>
      <c r="E176" s="502">
        <v>0.14099999999999999</v>
      </c>
      <c r="F176" s="503">
        <v>1.2999999999999999E-2</v>
      </c>
      <c r="G176" s="508">
        <v>0.67</v>
      </c>
      <c r="H176" s="509"/>
      <c r="I176" s="399"/>
      <c r="J176" s="500"/>
    </row>
    <row r="177" spans="1:10" ht="35.049999999999997" customHeight="1" x14ac:dyDescent="0.3">
      <c r="A177" s="398" t="s">
        <v>912</v>
      </c>
      <c r="B177" s="17" t="s">
        <v>480</v>
      </c>
      <c r="C177" s="406" t="s">
        <v>648</v>
      </c>
      <c r="D177" s="501">
        <v>0.67700000000000005</v>
      </c>
      <c r="E177" s="502">
        <v>0.14099999999999999</v>
      </c>
      <c r="F177" s="503">
        <v>1.2999999999999999E-2</v>
      </c>
      <c r="G177" s="508">
        <v>1.46</v>
      </c>
      <c r="H177" s="509"/>
      <c r="I177" s="399"/>
      <c r="J177" s="500"/>
    </row>
    <row r="178" spans="1:10" ht="35.049999999999997" customHeight="1" x14ac:dyDescent="0.3">
      <c r="A178" s="398" t="s">
        <v>913</v>
      </c>
      <c r="B178" s="17" t="s">
        <v>480</v>
      </c>
      <c r="C178" s="406" t="s">
        <v>648</v>
      </c>
      <c r="D178" s="501">
        <v>0.67700000000000005</v>
      </c>
      <c r="E178" s="502">
        <v>0.14099999999999999</v>
      </c>
      <c r="F178" s="503">
        <v>1.2999999999999999E-2</v>
      </c>
      <c r="G178" s="508">
        <v>2.93</v>
      </c>
      <c r="H178" s="509"/>
      <c r="I178" s="399"/>
      <c r="J178" s="500"/>
    </row>
    <row r="179" spans="1:10" ht="35.049999999999997" customHeight="1" x14ac:dyDescent="0.3">
      <c r="A179" s="398" t="s">
        <v>914</v>
      </c>
      <c r="B179" s="17" t="s">
        <v>480</v>
      </c>
      <c r="C179" s="406" t="s">
        <v>648</v>
      </c>
      <c r="D179" s="501">
        <v>0.67700000000000005</v>
      </c>
      <c r="E179" s="502">
        <v>0.14099999999999999</v>
      </c>
      <c r="F179" s="503">
        <v>1.2999999999999999E-2</v>
      </c>
      <c r="G179" s="508">
        <v>8.14</v>
      </c>
      <c r="H179" s="509"/>
      <c r="I179" s="399"/>
      <c r="J179" s="500"/>
    </row>
    <row r="180" spans="1:10" ht="35.049999999999997" customHeight="1" x14ac:dyDescent="0.3">
      <c r="A180" s="398" t="s">
        <v>594</v>
      </c>
      <c r="B180" s="17" t="s">
        <v>480</v>
      </c>
      <c r="C180" s="406" t="s">
        <v>577</v>
      </c>
      <c r="D180" s="501">
        <v>0.67700000000000005</v>
      </c>
      <c r="E180" s="502">
        <v>0.14099999999999999</v>
      </c>
      <c r="F180" s="503">
        <v>1.2999999999999999E-2</v>
      </c>
      <c r="G180" s="509"/>
      <c r="H180" s="509"/>
      <c r="I180" s="399"/>
      <c r="J180" s="500"/>
    </row>
    <row r="181" spans="1:10" ht="35.049999999999997" customHeight="1" x14ac:dyDescent="0.3">
      <c r="A181" s="398" t="s">
        <v>915</v>
      </c>
      <c r="B181" s="17" t="s">
        <v>480</v>
      </c>
      <c r="C181" s="406">
        <v>0</v>
      </c>
      <c r="D181" s="501">
        <v>0.48399999999999999</v>
      </c>
      <c r="E181" s="502">
        <v>9.2999999999999999E-2</v>
      </c>
      <c r="F181" s="503">
        <v>8.9999999999999993E-3</v>
      </c>
      <c r="G181" s="508">
        <v>1.57</v>
      </c>
      <c r="H181" s="508">
        <v>0.24</v>
      </c>
      <c r="I181" s="400">
        <v>0.35</v>
      </c>
      <c r="J181" s="499">
        <v>0.01</v>
      </c>
    </row>
    <row r="182" spans="1:10" ht="35.049999999999997" customHeight="1" x14ac:dyDescent="0.3">
      <c r="A182" s="398" t="s">
        <v>916</v>
      </c>
      <c r="B182" s="17" t="s">
        <v>480</v>
      </c>
      <c r="C182" s="406">
        <v>0</v>
      </c>
      <c r="D182" s="501">
        <v>0.48399999999999999</v>
      </c>
      <c r="E182" s="502">
        <v>9.2999999999999999E-2</v>
      </c>
      <c r="F182" s="503">
        <v>8.9999999999999993E-3</v>
      </c>
      <c r="G182" s="508">
        <v>11.65</v>
      </c>
      <c r="H182" s="508">
        <v>0.24</v>
      </c>
      <c r="I182" s="400">
        <v>0.35</v>
      </c>
      <c r="J182" s="499">
        <v>0.01</v>
      </c>
    </row>
    <row r="183" spans="1:10" ht="35.049999999999997" customHeight="1" x14ac:dyDescent="0.3">
      <c r="A183" s="398" t="s">
        <v>917</v>
      </c>
      <c r="B183" s="17" t="s">
        <v>480</v>
      </c>
      <c r="C183" s="406">
        <v>0</v>
      </c>
      <c r="D183" s="501">
        <v>0.48399999999999999</v>
      </c>
      <c r="E183" s="502">
        <v>9.2999999999999999E-2</v>
      </c>
      <c r="F183" s="503">
        <v>8.9999999999999993E-3</v>
      </c>
      <c r="G183" s="508">
        <v>26.72</v>
      </c>
      <c r="H183" s="508">
        <v>0.24</v>
      </c>
      <c r="I183" s="400">
        <v>0.35</v>
      </c>
      <c r="J183" s="499">
        <v>0.01</v>
      </c>
    </row>
    <row r="184" spans="1:10" ht="35.049999999999997" customHeight="1" x14ac:dyDescent="0.3">
      <c r="A184" s="398" t="s">
        <v>918</v>
      </c>
      <c r="B184" s="17" t="s">
        <v>480</v>
      </c>
      <c r="C184" s="406">
        <v>0</v>
      </c>
      <c r="D184" s="501">
        <v>0.48399999999999999</v>
      </c>
      <c r="E184" s="502">
        <v>9.2999999999999999E-2</v>
      </c>
      <c r="F184" s="503">
        <v>8.9999999999999993E-3</v>
      </c>
      <c r="G184" s="508">
        <v>42.59</v>
      </c>
      <c r="H184" s="508">
        <v>0.24</v>
      </c>
      <c r="I184" s="400">
        <v>0.35</v>
      </c>
      <c r="J184" s="499">
        <v>0.01</v>
      </c>
    </row>
    <row r="185" spans="1:10" ht="35.049999999999997" customHeight="1" x14ac:dyDescent="0.3">
      <c r="A185" s="398" t="s">
        <v>919</v>
      </c>
      <c r="B185" s="17" t="s">
        <v>480</v>
      </c>
      <c r="C185" s="406">
        <v>0</v>
      </c>
      <c r="D185" s="501">
        <v>0.48399999999999999</v>
      </c>
      <c r="E185" s="502">
        <v>9.2999999999999999E-2</v>
      </c>
      <c r="F185" s="503">
        <v>8.9999999999999993E-3</v>
      </c>
      <c r="G185" s="508">
        <v>87.69</v>
      </c>
      <c r="H185" s="508">
        <v>0.24</v>
      </c>
      <c r="I185" s="400">
        <v>0.35</v>
      </c>
      <c r="J185" s="499">
        <v>0.01</v>
      </c>
    </row>
    <row r="186" spans="1:10" ht="35.049999999999997" customHeight="1" x14ac:dyDescent="0.3">
      <c r="A186" s="398" t="s">
        <v>920</v>
      </c>
      <c r="B186" s="17" t="s">
        <v>480</v>
      </c>
      <c r="C186" s="406">
        <v>0</v>
      </c>
      <c r="D186" s="501">
        <v>0.60399999999999998</v>
      </c>
      <c r="E186" s="502">
        <v>0.106</v>
      </c>
      <c r="F186" s="503">
        <v>0.01</v>
      </c>
      <c r="G186" s="508">
        <v>7.41</v>
      </c>
      <c r="H186" s="508">
        <v>0.39</v>
      </c>
      <c r="I186" s="400">
        <v>0.63</v>
      </c>
      <c r="J186" s="499">
        <v>1.0999999999999999E-2</v>
      </c>
    </row>
    <row r="187" spans="1:10" ht="35.049999999999997" customHeight="1" x14ac:dyDescent="0.3">
      <c r="A187" s="398" t="s">
        <v>921</v>
      </c>
      <c r="B187" s="17" t="s">
        <v>480</v>
      </c>
      <c r="C187" s="406">
        <v>0</v>
      </c>
      <c r="D187" s="501">
        <v>0.60399999999999998</v>
      </c>
      <c r="E187" s="502">
        <v>0.106</v>
      </c>
      <c r="F187" s="503">
        <v>0.01</v>
      </c>
      <c r="G187" s="508">
        <v>23.07</v>
      </c>
      <c r="H187" s="508">
        <v>0.39</v>
      </c>
      <c r="I187" s="400">
        <v>0.63</v>
      </c>
      <c r="J187" s="499">
        <v>1.0999999999999999E-2</v>
      </c>
    </row>
    <row r="188" spans="1:10" ht="35.049999999999997" customHeight="1" x14ac:dyDescent="0.3">
      <c r="A188" s="398" t="s">
        <v>922</v>
      </c>
      <c r="B188" s="17" t="s">
        <v>480</v>
      </c>
      <c r="C188" s="406">
        <v>0</v>
      </c>
      <c r="D188" s="501">
        <v>0.60399999999999998</v>
      </c>
      <c r="E188" s="502">
        <v>0.106</v>
      </c>
      <c r="F188" s="503">
        <v>0.01</v>
      </c>
      <c r="G188" s="508">
        <v>46.46</v>
      </c>
      <c r="H188" s="508">
        <v>0.39</v>
      </c>
      <c r="I188" s="400">
        <v>0.63</v>
      </c>
      <c r="J188" s="499">
        <v>1.0999999999999999E-2</v>
      </c>
    </row>
    <row r="189" spans="1:10" ht="35.049999999999997" customHeight="1" x14ac:dyDescent="0.3">
      <c r="A189" s="398" t="s">
        <v>923</v>
      </c>
      <c r="B189" s="17" t="s">
        <v>480</v>
      </c>
      <c r="C189" s="406">
        <v>0</v>
      </c>
      <c r="D189" s="501">
        <v>0.60399999999999998</v>
      </c>
      <c r="E189" s="502">
        <v>0.106</v>
      </c>
      <c r="F189" s="503">
        <v>0.01</v>
      </c>
      <c r="G189" s="508">
        <v>71.099999999999994</v>
      </c>
      <c r="H189" s="508">
        <v>0.39</v>
      </c>
      <c r="I189" s="400">
        <v>0.63</v>
      </c>
      <c r="J189" s="499">
        <v>1.0999999999999999E-2</v>
      </c>
    </row>
    <row r="190" spans="1:10" ht="35.049999999999997" customHeight="1" x14ac:dyDescent="0.3">
      <c r="A190" s="398" t="s">
        <v>924</v>
      </c>
      <c r="B190" s="17" t="s">
        <v>480</v>
      </c>
      <c r="C190" s="406">
        <v>0</v>
      </c>
      <c r="D190" s="501">
        <v>0.60399999999999998</v>
      </c>
      <c r="E190" s="502">
        <v>0.106</v>
      </c>
      <c r="F190" s="503">
        <v>0.01</v>
      </c>
      <c r="G190" s="508">
        <v>141.13</v>
      </c>
      <c r="H190" s="508">
        <v>0.39</v>
      </c>
      <c r="I190" s="400">
        <v>0.63</v>
      </c>
      <c r="J190" s="499">
        <v>1.0999999999999999E-2</v>
      </c>
    </row>
    <row r="191" spans="1:10" ht="35.049999999999997" customHeight="1" x14ac:dyDescent="0.3">
      <c r="A191" s="398" t="s">
        <v>925</v>
      </c>
      <c r="B191" s="17" t="s">
        <v>480</v>
      </c>
      <c r="C191" s="406">
        <v>0</v>
      </c>
      <c r="D191" s="501">
        <v>0.501</v>
      </c>
      <c r="E191" s="502">
        <v>7.4999999999999997E-2</v>
      </c>
      <c r="F191" s="503">
        <v>7.0000000000000001E-3</v>
      </c>
      <c r="G191" s="508">
        <v>18.89</v>
      </c>
      <c r="H191" s="508">
        <v>0.44</v>
      </c>
      <c r="I191" s="400">
        <v>0.77</v>
      </c>
      <c r="J191" s="499">
        <v>8.0000000000000002E-3</v>
      </c>
    </row>
    <row r="192" spans="1:10" ht="35.049999999999997" customHeight="1" x14ac:dyDescent="0.3">
      <c r="A192" s="398" t="s">
        <v>926</v>
      </c>
      <c r="B192" s="17" t="s">
        <v>480</v>
      </c>
      <c r="C192" s="406">
        <v>0</v>
      </c>
      <c r="D192" s="501">
        <v>0.501</v>
      </c>
      <c r="E192" s="502">
        <v>7.4999999999999997E-2</v>
      </c>
      <c r="F192" s="503">
        <v>7.0000000000000001E-3</v>
      </c>
      <c r="G192" s="508">
        <v>135.77000000000001</v>
      </c>
      <c r="H192" s="508">
        <v>0.44</v>
      </c>
      <c r="I192" s="400">
        <v>0.77</v>
      </c>
      <c r="J192" s="499">
        <v>8.0000000000000002E-3</v>
      </c>
    </row>
    <row r="193" spans="1:10" ht="35.049999999999997" customHeight="1" x14ac:dyDescent="0.3">
      <c r="A193" s="398" t="s">
        <v>927</v>
      </c>
      <c r="B193" s="17" t="s">
        <v>480</v>
      </c>
      <c r="C193" s="406">
        <v>0</v>
      </c>
      <c r="D193" s="501">
        <v>0.501</v>
      </c>
      <c r="E193" s="502">
        <v>7.4999999999999997E-2</v>
      </c>
      <c r="F193" s="503">
        <v>7.0000000000000001E-3</v>
      </c>
      <c r="G193" s="508">
        <v>400.93</v>
      </c>
      <c r="H193" s="508">
        <v>0.44</v>
      </c>
      <c r="I193" s="400">
        <v>0.77</v>
      </c>
      <c r="J193" s="499">
        <v>8.0000000000000002E-3</v>
      </c>
    </row>
    <row r="194" spans="1:10" ht="35.049999999999997" customHeight="1" x14ac:dyDescent="0.3">
      <c r="A194" s="398" t="s">
        <v>928</v>
      </c>
      <c r="B194" s="17" t="s">
        <v>480</v>
      </c>
      <c r="C194" s="406">
        <v>0</v>
      </c>
      <c r="D194" s="501">
        <v>0.501</v>
      </c>
      <c r="E194" s="502">
        <v>7.4999999999999997E-2</v>
      </c>
      <c r="F194" s="503">
        <v>7.0000000000000001E-3</v>
      </c>
      <c r="G194" s="508">
        <v>819.73</v>
      </c>
      <c r="H194" s="508">
        <v>0.44</v>
      </c>
      <c r="I194" s="400">
        <v>0.77</v>
      </c>
      <c r="J194" s="499">
        <v>8.0000000000000002E-3</v>
      </c>
    </row>
    <row r="195" spans="1:10" ht="35.049999999999997" customHeight="1" x14ac:dyDescent="0.3">
      <c r="A195" s="398" t="s">
        <v>929</v>
      </c>
      <c r="B195" s="17" t="s">
        <v>480</v>
      </c>
      <c r="C195" s="406">
        <v>0</v>
      </c>
      <c r="D195" s="501">
        <v>0.501</v>
      </c>
      <c r="E195" s="502">
        <v>7.4999999999999997E-2</v>
      </c>
      <c r="F195" s="503">
        <v>7.0000000000000001E-3</v>
      </c>
      <c r="G195" s="508">
        <v>1886.46</v>
      </c>
      <c r="H195" s="508">
        <v>0.44</v>
      </c>
      <c r="I195" s="400">
        <v>0.77</v>
      </c>
      <c r="J195" s="499">
        <v>8.0000000000000002E-3</v>
      </c>
    </row>
    <row r="196" spans="1:10" ht="35.049999999999997" customHeight="1" x14ac:dyDescent="0.3">
      <c r="A196" s="398" t="s">
        <v>595</v>
      </c>
      <c r="B196" s="17" t="s">
        <v>480</v>
      </c>
      <c r="C196" s="406" t="s">
        <v>616</v>
      </c>
      <c r="D196" s="504">
        <v>1.5069999999999999</v>
      </c>
      <c r="E196" s="505">
        <v>0.32</v>
      </c>
      <c r="F196" s="503">
        <v>0.23699999999999999</v>
      </c>
      <c r="G196" s="509"/>
      <c r="H196" s="509"/>
      <c r="I196" s="399"/>
      <c r="J196" s="500"/>
    </row>
    <row r="197" spans="1:10" ht="35.049999999999997" customHeight="1" x14ac:dyDescent="0.3">
      <c r="A197" s="398" t="s">
        <v>711</v>
      </c>
      <c r="B197" s="17" t="s">
        <v>480</v>
      </c>
      <c r="C197" s="406" t="s">
        <v>621</v>
      </c>
      <c r="D197" s="501">
        <v>-0.749</v>
      </c>
      <c r="E197" s="502">
        <v>-0.156</v>
      </c>
      <c r="F197" s="503">
        <v>-1.4E-2</v>
      </c>
      <c r="G197" s="508">
        <v>0</v>
      </c>
      <c r="H197" s="509"/>
      <c r="I197" s="399"/>
      <c r="J197" s="500"/>
    </row>
    <row r="198" spans="1:10" ht="35.049999999999997" customHeight="1" x14ac:dyDescent="0.3">
      <c r="A198" s="398" t="s">
        <v>712</v>
      </c>
      <c r="B198" s="17" t="s">
        <v>480</v>
      </c>
      <c r="C198" s="406" t="s">
        <v>621</v>
      </c>
      <c r="D198" s="501">
        <v>-0.73</v>
      </c>
      <c r="E198" s="502">
        <v>-0.14299999999999999</v>
      </c>
      <c r="F198" s="503">
        <v>-1.2999999999999999E-2</v>
      </c>
      <c r="G198" s="508">
        <v>0</v>
      </c>
      <c r="H198" s="509"/>
      <c r="I198" s="399"/>
      <c r="J198" s="500"/>
    </row>
    <row r="199" spans="1:10" ht="35.049999999999997" customHeight="1" x14ac:dyDescent="0.3">
      <c r="A199" s="398" t="s">
        <v>713</v>
      </c>
      <c r="B199" s="17" t="s">
        <v>480</v>
      </c>
      <c r="C199" s="406">
        <v>0</v>
      </c>
      <c r="D199" s="501">
        <v>-0.749</v>
      </c>
      <c r="E199" s="502">
        <v>-0.156</v>
      </c>
      <c r="F199" s="503">
        <v>-1.4E-2</v>
      </c>
      <c r="G199" s="508">
        <v>0</v>
      </c>
      <c r="H199" s="509"/>
      <c r="I199" s="399"/>
      <c r="J199" s="499">
        <v>1.4E-2</v>
      </c>
    </row>
    <row r="200" spans="1:10" ht="35.049999999999997" customHeight="1" x14ac:dyDescent="0.3">
      <c r="A200" s="398" t="s">
        <v>714</v>
      </c>
      <c r="B200" s="17" t="s">
        <v>480</v>
      </c>
      <c r="C200" s="406">
        <v>0</v>
      </c>
      <c r="D200" s="501">
        <v>-0.73</v>
      </c>
      <c r="E200" s="502">
        <v>-0.14299999999999999</v>
      </c>
      <c r="F200" s="503">
        <v>-1.2999999999999999E-2</v>
      </c>
      <c r="G200" s="508">
        <v>0</v>
      </c>
      <c r="H200" s="509"/>
      <c r="I200" s="399"/>
      <c r="J200" s="499">
        <v>1.4E-2</v>
      </c>
    </row>
    <row r="201" spans="1:10" ht="35.049999999999997" customHeight="1" x14ac:dyDescent="0.3">
      <c r="A201" s="398" t="s">
        <v>715</v>
      </c>
      <c r="B201" s="17" t="s">
        <v>480</v>
      </c>
      <c r="C201" s="406">
        <v>0</v>
      </c>
      <c r="D201" s="501">
        <v>-0.84</v>
      </c>
      <c r="E201" s="502">
        <v>-0.14199999999999999</v>
      </c>
      <c r="F201" s="503">
        <v>-1.4E-2</v>
      </c>
      <c r="G201" s="508">
        <v>1.91</v>
      </c>
      <c r="H201" s="509"/>
      <c r="I201" s="399"/>
      <c r="J201" s="499">
        <v>1.4999999999999999E-2</v>
      </c>
    </row>
  </sheetData>
  <mergeCells count="10">
    <mergeCell ref="F5:G5"/>
    <mergeCell ref="A2:J2"/>
    <mergeCell ref="A4:D4"/>
    <mergeCell ref="F4:J4"/>
    <mergeCell ref="F9:G9"/>
    <mergeCell ref="H9:J9"/>
    <mergeCell ref="F6:G6"/>
    <mergeCell ref="F7:G7"/>
    <mergeCell ref="B8:D8"/>
    <mergeCell ref="F8:G8"/>
  </mergeCells>
  <hyperlinks>
    <hyperlink ref="A1" location="Overview!A1" display="Back to Overview" xr:uid="{00000000-0004-0000-14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3323-C161-4EE4-9B7E-C2ADE7E37AA5}">
  <sheetPr codeName="Sheet27">
    <pageSetUpPr fitToPage="1"/>
  </sheetPr>
  <dimension ref="A1:T202"/>
  <sheetViews>
    <sheetView zoomScale="50" zoomScaleNormal="50" workbookViewId="0">
      <selection activeCell="B10" sqref="B10: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31.23046875" style="3" customWidth="1"/>
    <col min="12" max="17" width="15.53515625" style="1" customWidth="1"/>
    <col min="18" max="16384" width="9.15234375" style="1"/>
  </cols>
  <sheetData>
    <row r="1" spans="1:20" ht="40" customHeight="1" x14ac:dyDescent="0.3">
      <c r="A1" s="30" t="s">
        <v>19</v>
      </c>
      <c r="B1" s="3"/>
      <c r="C1" s="3"/>
      <c r="D1" s="3"/>
      <c r="F1" s="3"/>
      <c r="G1" s="3"/>
      <c r="H1" s="3"/>
      <c r="I1" s="3"/>
      <c r="J1" s="1"/>
      <c r="K1" s="1"/>
    </row>
    <row r="2" spans="1:20" ht="40" customHeight="1" x14ac:dyDescent="0.3">
      <c r="A2" s="612" t="str">
        <f>Overview!B4&amp;" - Effective from "&amp;Overview!D4&amp;" - Final LDNO tariffs in SSE SEPD Area (GSP Group_H)"</f>
        <v>Indigo Power Limited - Effective from 1 April 2023 - Final LDNO tariffs in SSE SEPD Area (GSP Group_H)</v>
      </c>
      <c r="B2" s="612"/>
      <c r="C2" s="612"/>
      <c r="D2" s="612"/>
      <c r="E2" s="612"/>
      <c r="F2" s="612"/>
      <c r="G2" s="612"/>
      <c r="H2" s="612"/>
      <c r="I2" s="612"/>
      <c r="J2" s="612"/>
    </row>
    <row r="3" spans="1:20" ht="40" customHeight="1" x14ac:dyDescent="0.3">
      <c r="A3" s="48"/>
      <c r="B3" s="48"/>
      <c r="C3" s="48"/>
      <c r="D3" s="48"/>
      <c r="E3" s="48"/>
      <c r="F3" s="48"/>
      <c r="G3" s="48"/>
      <c r="H3" s="48"/>
      <c r="I3" s="48"/>
      <c r="J3" s="48"/>
    </row>
    <row r="4" spans="1:20" ht="40" customHeight="1" x14ac:dyDescent="0.3">
      <c r="A4" s="612" t="s">
        <v>308</v>
      </c>
      <c r="B4" s="612"/>
      <c r="C4" s="612"/>
      <c r="D4" s="612"/>
      <c r="E4" s="289"/>
      <c r="F4" s="612" t="s">
        <v>307</v>
      </c>
      <c r="G4" s="612"/>
      <c r="H4" s="612"/>
      <c r="I4" s="612"/>
      <c r="J4" s="612"/>
      <c r="L4" s="3"/>
    </row>
    <row r="5" spans="1:20" ht="40" customHeight="1" x14ac:dyDescent="0.3">
      <c r="A5" s="472" t="s">
        <v>13</v>
      </c>
      <c r="B5" s="290" t="s">
        <v>299</v>
      </c>
      <c r="C5" s="291" t="s">
        <v>300</v>
      </c>
      <c r="D5" s="292" t="s">
        <v>301</v>
      </c>
      <c r="E5" s="48"/>
      <c r="F5" s="659"/>
      <c r="G5" s="660"/>
      <c r="H5" s="293" t="s">
        <v>305</v>
      </c>
      <c r="I5" s="294" t="s">
        <v>306</v>
      </c>
      <c r="J5" s="292" t="s">
        <v>301</v>
      </c>
      <c r="K5" s="45"/>
      <c r="L5" s="3"/>
      <c r="M5" s="3"/>
    </row>
    <row r="6" spans="1:20" ht="40" customHeight="1" x14ac:dyDescent="0.3">
      <c r="A6" s="473" t="str">
        <f>'Annex 1 LV and HV charges_H'!A6</f>
        <v>Monday to Friday 
(Including Bank Holidays)
All Year</v>
      </c>
      <c r="B6" s="296" t="str">
        <f>'Annex 1 LV and HV charges_H'!B6</f>
        <v>16:30 - 19:30</v>
      </c>
      <c r="C6" s="297" t="str">
        <f>'Annex 1 LV and HV charges_H'!C6</f>
        <v/>
      </c>
      <c r="D6" s="298" t="str">
        <f>'Annex 1 LV and HV charges_H'!E6</f>
        <v/>
      </c>
      <c r="E6" s="48"/>
      <c r="F6" s="655" t="str">
        <f>'Annex 1 LV and HV charges_H'!G6</f>
        <v>Monday to Friday 
(Including Bank Holidays)
March to October</v>
      </c>
      <c r="G6" s="655" t="str">
        <f>'Annex 1 LV and HV charges_H'!H6</f>
        <v/>
      </c>
      <c r="H6" s="298" t="str">
        <f>'Annex 1 LV and HV charges_H'!I6</f>
        <v/>
      </c>
      <c r="I6" s="299" t="str">
        <f>'Annex 1 LV and HV charges_H'!J6</f>
        <v>07:00 - 22:00</v>
      </c>
      <c r="J6" s="298" t="str">
        <f>'Annex 1 LV and HV charges_H'!K6</f>
        <v/>
      </c>
      <c r="K6" s="45"/>
      <c r="L6" s="3"/>
      <c r="M6" s="3"/>
    </row>
    <row r="7" spans="1:20" ht="40" customHeight="1" x14ac:dyDescent="0.3">
      <c r="A7" s="473" t="str">
        <f>'Annex 1 LV and HV charges_H'!A7</f>
        <v>Monday to Friday 
(Including Bank Holidays)
All Year</v>
      </c>
      <c r="B7" s="298" t="str">
        <f>'Annex 1 LV and HV charges_H'!B7</f>
        <v/>
      </c>
      <c r="C7" s="282" t="str">
        <f>'Annex 1 LV and HV charges_H'!C7</f>
        <v>07:00 - 16:30
19:30 - 22:00</v>
      </c>
      <c r="D7" s="298" t="str">
        <f>'Annex 1 LV and HV charges_H'!E7</f>
        <v/>
      </c>
      <c r="E7" s="48"/>
      <c r="F7" s="655" t="str">
        <f>'Annex 1 LV and HV charges_H'!G7</f>
        <v xml:space="preserve">Monday to Friday 
(Including Bank Holidays)
November to February </v>
      </c>
      <c r="G7" s="655" t="str">
        <f>'Annex 1 LV and HV charges_H'!H7</f>
        <v/>
      </c>
      <c r="H7" s="300" t="str">
        <f>'Annex 1 LV and HV charges_H'!I7</f>
        <v>16:30 - 19:30</v>
      </c>
      <c r="I7" s="299" t="str">
        <f>'Annex 1 LV and HV charges_H'!J7</f>
        <v>07:00 - 16:30
19:30 - 22:00</v>
      </c>
      <c r="J7" s="298" t="str">
        <f>'Annex 1 LV and HV charges_H'!K7</f>
        <v/>
      </c>
      <c r="K7" s="45"/>
      <c r="L7" s="3"/>
      <c r="M7" s="3"/>
    </row>
    <row r="8" spans="1:20" ht="40" customHeight="1" x14ac:dyDescent="0.3">
      <c r="A8" s="474" t="str">
        <f>'Annex 1 LV and HV charges_H'!A8</f>
        <v>Monday to Friday 
(Including Bank Holidays)
All Year</v>
      </c>
      <c r="B8" s="298" t="str">
        <f>'Annex 1 LV and HV charges_H'!B8</f>
        <v/>
      </c>
      <c r="C8" s="297" t="str">
        <f>'Annex 1 LV and HV charges_H'!C8</f>
        <v/>
      </c>
      <c r="D8" s="301" t="str">
        <f>'Annex 1 LV and HV charges_H'!E8</f>
        <v>00:00 - 07:00
22:00 - 24:00</v>
      </c>
      <c r="E8" s="48"/>
      <c r="F8" s="655" t="str">
        <f>'Annex 1 LV and HV charges_H'!G8</f>
        <v>Monday to Friday 
(Including Bank Holidays)
April to March</v>
      </c>
      <c r="G8" s="655" t="str">
        <f>'Annex 1 LV and HV charges_H'!H8</f>
        <v/>
      </c>
      <c r="H8" s="298" t="str">
        <f>'Annex 1 LV and HV charges_H'!I8</f>
        <v/>
      </c>
      <c r="I8" s="298" t="str">
        <f>'Annex 1 LV and HV charges_H'!J8</f>
        <v/>
      </c>
      <c r="J8" s="301" t="str">
        <f>'Annex 1 LV and HV charges_H'!K8</f>
        <v>00:00 - 07:00
22:00 - 24:00</v>
      </c>
      <c r="K8" s="45"/>
      <c r="L8" s="3"/>
      <c r="M8" s="3"/>
    </row>
    <row r="9" spans="1:20" s="41" customFormat="1" ht="40" customHeight="1" x14ac:dyDescent="0.3">
      <c r="A9" s="474" t="str">
        <f>'Annex 1 LV and HV charges_H'!A9</f>
        <v>Saturday and Sunday
All Year</v>
      </c>
      <c r="B9" s="298" t="str">
        <f>'Annex 1 LV and HV charges_H'!B9</f>
        <v/>
      </c>
      <c r="C9" s="282" t="str">
        <f>'Annex 1 LV and HV charges_H'!C9</f>
        <v>09:30 - 21:30</v>
      </c>
      <c r="D9" s="301" t="str">
        <f>'Annex 1 LV and HV charges_H'!E9</f>
        <v>00:00 - 09:30
21:30 - 24:00</v>
      </c>
      <c r="E9" s="302"/>
      <c r="F9" s="655" t="str">
        <f>'Annex 1 LV and HV charges_H'!G9</f>
        <v>Saturday and Sunday 
All Year</v>
      </c>
      <c r="G9" s="655" t="str">
        <f>'Annex 1 LV and HV charges_H'!H9</f>
        <v/>
      </c>
      <c r="H9" s="298" t="str">
        <f>'Annex 1 LV and HV charges_H'!I9</f>
        <v/>
      </c>
      <c r="I9" s="299" t="str">
        <f>'Annex 1 LV and HV charges_H'!J9</f>
        <v>09:30 - 21:30</v>
      </c>
      <c r="J9" s="301" t="str">
        <f>'Annex 1 LV and HV charges_H'!K9</f>
        <v>00:00 - 09:30
21:30 - 24:00</v>
      </c>
      <c r="K9" s="45"/>
      <c r="L9" s="29"/>
      <c r="M9" s="29"/>
    </row>
    <row r="10" spans="1:20" s="47" customFormat="1" ht="40" customHeight="1" x14ac:dyDescent="0.3">
      <c r="A10" s="474" t="str">
        <f>'Annex 1 LV and HV charges_H'!A10</f>
        <v>Notes</v>
      </c>
      <c r="B10" s="656" t="s">
        <v>480</v>
      </c>
      <c r="C10" s="657" t="str">
        <f>'Annex 1 LV and HV charges_H'!C10</f>
        <v/>
      </c>
      <c r="D10" s="658" t="str">
        <f>'Annex 1 LV and HV charges_H'!D10</f>
        <v/>
      </c>
      <c r="E10" s="303"/>
      <c r="F10" s="655" t="str">
        <f>'Annex 1 LV and HV charges_H'!G10</f>
        <v>Notes</v>
      </c>
      <c r="G10" s="655" t="str">
        <f>'Annex 1 LV and HV charges_H'!H10</f>
        <v/>
      </c>
      <c r="H10" s="655" t="str">
        <f>'Annex 1 LV and HV charges_H'!I10</f>
        <v>All the above times are in UK Clock time</v>
      </c>
      <c r="I10" s="655" t="str">
        <f>'Annex 1 LV and HV charges_H'!J10</f>
        <v/>
      </c>
      <c r="J10" s="655" t="str">
        <f>'Annex 1 LV and HV charges_H'!K10</f>
        <v/>
      </c>
      <c r="K10" s="45"/>
      <c r="L10" s="46"/>
      <c r="M10" s="46"/>
    </row>
    <row r="11" spans="1:20" ht="75" customHeight="1" x14ac:dyDescent="0.3">
      <c r="A11" s="18" t="s">
        <v>455</v>
      </c>
      <c r="B11" s="18" t="s">
        <v>31</v>
      </c>
      <c r="C11" s="463" t="s">
        <v>24</v>
      </c>
      <c r="D11" s="374" t="s">
        <v>579</v>
      </c>
      <c r="E11" s="374" t="s">
        <v>580</v>
      </c>
      <c r="F11" s="374" t="s">
        <v>581</v>
      </c>
      <c r="G11" s="463" t="s">
        <v>25</v>
      </c>
      <c r="H11" s="463" t="s">
        <v>26</v>
      </c>
      <c r="I11" s="463" t="s">
        <v>456</v>
      </c>
      <c r="J11" s="463" t="s">
        <v>270</v>
      </c>
      <c r="K11" s="46"/>
      <c r="L11" s="46"/>
      <c r="M11" s="47"/>
      <c r="N11" s="47"/>
      <c r="O11" s="47"/>
      <c r="P11" s="47"/>
      <c r="Q11" s="47"/>
      <c r="R11" s="47"/>
      <c r="S11" s="47"/>
      <c r="T11" s="47"/>
    </row>
    <row r="12" spans="1:20" ht="35.049999999999997" customHeight="1" x14ac:dyDescent="0.3">
      <c r="A12" s="398" t="s">
        <v>786</v>
      </c>
      <c r="B12" s="17"/>
      <c r="C12" s="405" t="s">
        <v>639</v>
      </c>
      <c r="D12" s="501">
        <v>5.5529999999999999</v>
      </c>
      <c r="E12" s="502">
        <v>0.72</v>
      </c>
      <c r="F12" s="503">
        <v>3.5000000000000003E-2</v>
      </c>
      <c r="G12" s="508">
        <v>6.99</v>
      </c>
      <c r="H12" s="509">
        <v>0</v>
      </c>
      <c r="I12" s="399">
        <v>0</v>
      </c>
      <c r="J12" s="500">
        <v>0</v>
      </c>
      <c r="K12" s="46"/>
      <c r="L12" s="46"/>
      <c r="M12" s="47"/>
      <c r="N12" s="47"/>
      <c r="O12" s="47"/>
      <c r="P12" s="47"/>
      <c r="Q12" s="47"/>
      <c r="R12" s="47"/>
      <c r="S12" s="47"/>
      <c r="T12" s="47"/>
    </row>
    <row r="13" spans="1:20" ht="35.049999999999997" customHeight="1" x14ac:dyDescent="0.3">
      <c r="A13" s="398" t="s">
        <v>787</v>
      </c>
      <c r="B13" s="17"/>
      <c r="C13" s="405">
        <v>2</v>
      </c>
      <c r="D13" s="501">
        <v>5.5529999999999999</v>
      </c>
      <c r="E13" s="502">
        <v>0.72</v>
      </c>
      <c r="F13" s="503">
        <v>3.5000000000000003E-2</v>
      </c>
      <c r="G13" s="509">
        <v>0</v>
      </c>
      <c r="H13" s="509">
        <v>0</v>
      </c>
      <c r="I13" s="399">
        <v>0</v>
      </c>
      <c r="J13" s="500">
        <v>0</v>
      </c>
      <c r="K13" s="46"/>
      <c r="L13" s="46"/>
      <c r="M13" s="47"/>
      <c r="N13" s="47"/>
      <c r="O13" s="47"/>
      <c r="P13" s="47"/>
      <c r="Q13" s="47"/>
      <c r="R13" s="47"/>
      <c r="S13" s="47"/>
      <c r="T13" s="47"/>
    </row>
    <row r="14" spans="1:20" ht="35.049999999999997" customHeight="1" x14ac:dyDescent="0.3">
      <c r="A14" s="398" t="s">
        <v>788</v>
      </c>
      <c r="B14" s="17"/>
      <c r="C14" s="405" t="s">
        <v>640</v>
      </c>
      <c r="D14" s="501">
        <v>4.8949999999999996</v>
      </c>
      <c r="E14" s="502">
        <v>0.63500000000000001</v>
      </c>
      <c r="F14" s="503">
        <v>3.1E-2</v>
      </c>
      <c r="G14" s="508">
        <v>5.32</v>
      </c>
      <c r="H14" s="509">
        <v>0</v>
      </c>
      <c r="I14" s="399">
        <v>0</v>
      </c>
      <c r="J14" s="500">
        <v>0</v>
      </c>
      <c r="K14" s="46"/>
      <c r="L14" s="46"/>
      <c r="M14" s="47"/>
      <c r="N14" s="47"/>
      <c r="O14" s="47"/>
      <c r="P14" s="47"/>
      <c r="Q14" s="47"/>
      <c r="R14" s="47"/>
      <c r="S14" s="47"/>
      <c r="T14" s="47"/>
    </row>
    <row r="15" spans="1:20" ht="35.049999999999997" customHeight="1" x14ac:dyDescent="0.3">
      <c r="A15" s="398" t="s">
        <v>789</v>
      </c>
      <c r="B15" s="17"/>
      <c r="C15" s="405" t="s">
        <v>640</v>
      </c>
      <c r="D15" s="501">
        <v>4.8949999999999996</v>
      </c>
      <c r="E15" s="502">
        <v>0.63500000000000001</v>
      </c>
      <c r="F15" s="503">
        <v>3.1E-2</v>
      </c>
      <c r="G15" s="508">
        <v>7.41</v>
      </c>
      <c r="H15" s="509">
        <v>0</v>
      </c>
      <c r="I15" s="399">
        <v>0</v>
      </c>
      <c r="J15" s="500">
        <v>0</v>
      </c>
      <c r="K15" s="46"/>
      <c r="L15" s="46"/>
      <c r="M15" s="47"/>
      <c r="N15" s="47"/>
      <c r="O15" s="47"/>
      <c r="P15" s="47"/>
      <c r="Q15" s="47"/>
      <c r="R15" s="47"/>
      <c r="S15" s="47"/>
      <c r="T15" s="47"/>
    </row>
    <row r="16" spans="1:20" ht="35.049999999999997" customHeight="1" x14ac:dyDescent="0.3">
      <c r="A16" s="398" t="s">
        <v>790</v>
      </c>
      <c r="B16" s="17"/>
      <c r="C16" s="405" t="s">
        <v>640</v>
      </c>
      <c r="D16" s="501">
        <v>4.8949999999999996</v>
      </c>
      <c r="E16" s="502">
        <v>0.63500000000000001</v>
      </c>
      <c r="F16" s="503">
        <v>3.1E-2</v>
      </c>
      <c r="G16" s="508">
        <v>12.16</v>
      </c>
      <c r="H16" s="509">
        <v>0</v>
      </c>
      <c r="I16" s="399">
        <v>0</v>
      </c>
      <c r="J16" s="500">
        <v>0</v>
      </c>
      <c r="K16" s="46"/>
      <c r="L16" s="46"/>
      <c r="M16" s="47"/>
      <c r="N16" s="47"/>
      <c r="O16" s="47"/>
      <c r="P16" s="47"/>
      <c r="Q16" s="47"/>
      <c r="R16" s="47"/>
      <c r="S16" s="47"/>
      <c r="T16" s="47"/>
    </row>
    <row r="17" spans="1:20" ht="35.049999999999997" customHeight="1" x14ac:dyDescent="0.3">
      <c r="A17" s="398" t="s">
        <v>791</v>
      </c>
      <c r="B17" s="17"/>
      <c r="C17" s="405" t="s">
        <v>640</v>
      </c>
      <c r="D17" s="501">
        <v>4.8949999999999996</v>
      </c>
      <c r="E17" s="502">
        <v>0.63500000000000001</v>
      </c>
      <c r="F17" s="503">
        <v>3.1E-2</v>
      </c>
      <c r="G17" s="508">
        <v>20.82</v>
      </c>
      <c r="H17" s="509">
        <v>0</v>
      </c>
      <c r="I17" s="399">
        <v>0</v>
      </c>
      <c r="J17" s="500">
        <v>0</v>
      </c>
      <c r="K17" s="46"/>
      <c r="L17" s="46"/>
      <c r="M17" s="47"/>
      <c r="N17" s="47"/>
      <c r="O17" s="47"/>
      <c r="P17" s="47"/>
      <c r="Q17" s="47"/>
      <c r="R17" s="47"/>
      <c r="S17" s="47"/>
      <c r="T17" s="47"/>
    </row>
    <row r="18" spans="1:20" ht="35.049999999999997" customHeight="1" x14ac:dyDescent="0.3">
      <c r="A18" s="398" t="s">
        <v>792</v>
      </c>
      <c r="B18" s="17"/>
      <c r="C18" s="405" t="s">
        <v>640</v>
      </c>
      <c r="D18" s="501">
        <v>4.8949999999999996</v>
      </c>
      <c r="E18" s="502">
        <v>0.63500000000000001</v>
      </c>
      <c r="F18" s="503">
        <v>3.1E-2</v>
      </c>
      <c r="G18" s="508">
        <v>47.49</v>
      </c>
      <c r="H18" s="509">
        <v>0</v>
      </c>
      <c r="I18" s="399">
        <v>0</v>
      </c>
      <c r="J18" s="500">
        <v>0</v>
      </c>
      <c r="K18" s="46"/>
      <c r="L18" s="46"/>
      <c r="M18" s="47"/>
      <c r="N18" s="47"/>
      <c r="O18" s="47"/>
      <c r="P18" s="47"/>
      <c r="Q18" s="47"/>
      <c r="R18" s="47"/>
      <c r="S18" s="47"/>
      <c r="T18" s="47"/>
    </row>
    <row r="19" spans="1:20" ht="35.049999999999997" customHeight="1" x14ac:dyDescent="0.3">
      <c r="A19" s="398" t="s">
        <v>582</v>
      </c>
      <c r="B19" s="17"/>
      <c r="C19" s="405">
        <v>4</v>
      </c>
      <c r="D19" s="501">
        <v>4.8949999999999996</v>
      </c>
      <c r="E19" s="502">
        <v>0.63500000000000001</v>
      </c>
      <c r="F19" s="503">
        <v>3.1E-2</v>
      </c>
      <c r="G19" s="509">
        <v>0</v>
      </c>
      <c r="H19" s="509">
        <v>0</v>
      </c>
      <c r="I19" s="399">
        <v>0</v>
      </c>
      <c r="J19" s="500">
        <v>0</v>
      </c>
      <c r="K19" s="46"/>
      <c r="L19" s="46"/>
      <c r="M19" s="47"/>
      <c r="N19" s="47"/>
      <c r="O19" s="47"/>
      <c r="P19" s="47"/>
      <c r="Q19" s="47"/>
      <c r="R19" s="47"/>
      <c r="S19" s="47"/>
      <c r="T19" s="47"/>
    </row>
    <row r="20" spans="1:20" ht="35.049999999999997" customHeight="1" x14ac:dyDescent="0.3">
      <c r="A20" s="398" t="s">
        <v>793</v>
      </c>
      <c r="B20" s="17"/>
      <c r="C20" s="405">
        <v>0</v>
      </c>
      <c r="D20" s="501">
        <v>3.823</v>
      </c>
      <c r="E20" s="502">
        <v>0.42699999999999999</v>
      </c>
      <c r="F20" s="503">
        <v>0.02</v>
      </c>
      <c r="G20" s="508">
        <v>11.21</v>
      </c>
      <c r="H20" s="508">
        <v>2.36</v>
      </c>
      <c r="I20" s="400">
        <v>4.42</v>
      </c>
      <c r="J20" s="499">
        <v>0.14199999999999999</v>
      </c>
      <c r="K20" s="46"/>
      <c r="L20" s="46"/>
      <c r="M20" s="47"/>
      <c r="N20" s="47"/>
      <c r="O20" s="47"/>
      <c r="P20" s="47"/>
      <c r="Q20" s="47"/>
      <c r="R20" s="47"/>
      <c r="S20" s="47"/>
      <c r="T20" s="47"/>
    </row>
    <row r="21" spans="1:20" ht="35.049999999999997" customHeight="1" x14ac:dyDescent="0.3">
      <c r="A21" s="398" t="s">
        <v>794</v>
      </c>
      <c r="B21" s="17"/>
      <c r="C21" s="405">
        <v>0</v>
      </c>
      <c r="D21" s="501">
        <v>3.823</v>
      </c>
      <c r="E21" s="502">
        <v>0.42699999999999999</v>
      </c>
      <c r="F21" s="503">
        <v>0.02</v>
      </c>
      <c r="G21" s="508">
        <v>88.56</v>
      </c>
      <c r="H21" s="508">
        <v>2.36</v>
      </c>
      <c r="I21" s="400">
        <v>4.42</v>
      </c>
      <c r="J21" s="499">
        <v>0.14199999999999999</v>
      </c>
      <c r="K21" s="46"/>
      <c r="L21" s="46"/>
      <c r="M21" s="47"/>
      <c r="N21" s="47"/>
      <c r="O21" s="47"/>
      <c r="P21" s="47"/>
      <c r="Q21" s="47"/>
      <c r="R21" s="47"/>
      <c r="S21" s="47"/>
      <c r="T21" s="47"/>
    </row>
    <row r="22" spans="1:20" ht="35.049999999999997" customHeight="1" x14ac:dyDescent="0.3">
      <c r="A22" s="398" t="s">
        <v>795</v>
      </c>
      <c r="B22" s="17"/>
      <c r="C22" s="405">
        <v>0</v>
      </c>
      <c r="D22" s="501">
        <v>3.823</v>
      </c>
      <c r="E22" s="502">
        <v>0.42699999999999999</v>
      </c>
      <c r="F22" s="503">
        <v>0.02</v>
      </c>
      <c r="G22" s="508">
        <v>154.99</v>
      </c>
      <c r="H22" s="508">
        <v>2.36</v>
      </c>
      <c r="I22" s="400">
        <v>4.42</v>
      </c>
      <c r="J22" s="499">
        <v>0.14199999999999999</v>
      </c>
      <c r="K22" s="46"/>
      <c r="L22" s="46"/>
      <c r="M22" s="47"/>
      <c r="N22" s="47"/>
      <c r="O22" s="47"/>
      <c r="P22" s="47"/>
      <c r="Q22" s="47"/>
      <c r="R22" s="47"/>
      <c r="S22" s="47"/>
      <c r="T22" s="47"/>
    </row>
    <row r="23" spans="1:20" ht="35.049999999999997" customHeight="1" x14ac:dyDescent="0.3">
      <c r="A23" s="398" t="s">
        <v>796</v>
      </c>
      <c r="B23" s="17"/>
      <c r="C23" s="405">
        <v>0</v>
      </c>
      <c r="D23" s="501">
        <v>3.823</v>
      </c>
      <c r="E23" s="502">
        <v>0.42699999999999999</v>
      </c>
      <c r="F23" s="503">
        <v>0.02</v>
      </c>
      <c r="G23" s="508">
        <v>233.72</v>
      </c>
      <c r="H23" s="508">
        <v>2.36</v>
      </c>
      <c r="I23" s="400">
        <v>4.42</v>
      </c>
      <c r="J23" s="499">
        <v>0.14199999999999999</v>
      </c>
      <c r="K23" s="46"/>
      <c r="L23" s="46"/>
      <c r="M23" s="47"/>
      <c r="N23" s="47"/>
      <c r="O23" s="47"/>
      <c r="P23" s="47"/>
      <c r="Q23" s="47"/>
      <c r="R23" s="47"/>
      <c r="S23" s="47"/>
      <c r="T23" s="47"/>
    </row>
    <row r="24" spans="1:20" ht="35.049999999999997" customHeight="1" x14ac:dyDescent="0.3">
      <c r="A24" s="398" t="s">
        <v>797</v>
      </c>
      <c r="B24" s="17"/>
      <c r="C24" s="405">
        <v>0</v>
      </c>
      <c r="D24" s="501">
        <v>3.823</v>
      </c>
      <c r="E24" s="502">
        <v>0.42699999999999999</v>
      </c>
      <c r="F24" s="503">
        <v>0.02</v>
      </c>
      <c r="G24" s="508">
        <v>580.20000000000005</v>
      </c>
      <c r="H24" s="508">
        <v>2.36</v>
      </c>
      <c r="I24" s="400">
        <v>4.42</v>
      </c>
      <c r="J24" s="499">
        <v>0.14199999999999999</v>
      </c>
      <c r="K24" s="46"/>
      <c r="L24" s="46"/>
      <c r="M24" s="47"/>
      <c r="N24" s="47"/>
      <c r="O24" s="47"/>
      <c r="P24" s="47"/>
      <c r="Q24" s="47"/>
      <c r="R24" s="47"/>
      <c r="S24" s="47"/>
      <c r="T24" s="47"/>
    </row>
    <row r="25" spans="1:20" ht="35.049999999999997" customHeight="1" x14ac:dyDescent="0.3">
      <c r="A25" s="398" t="s">
        <v>583</v>
      </c>
      <c r="B25" s="17"/>
      <c r="C25" s="405" t="s">
        <v>616</v>
      </c>
      <c r="D25" s="504">
        <v>12.68</v>
      </c>
      <c r="E25" s="505">
        <v>2.3119999999999998</v>
      </c>
      <c r="F25" s="503">
        <v>1.768</v>
      </c>
      <c r="G25" s="509">
        <v>0</v>
      </c>
      <c r="H25" s="509">
        <v>0</v>
      </c>
      <c r="I25" s="399">
        <v>0</v>
      </c>
      <c r="J25" s="500">
        <v>0</v>
      </c>
      <c r="K25" s="46"/>
      <c r="L25" s="46"/>
      <c r="M25" s="47"/>
      <c r="N25" s="47"/>
      <c r="O25" s="47"/>
      <c r="P25" s="47"/>
      <c r="Q25" s="47"/>
      <c r="R25" s="47"/>
      <c r="S25" s="47"/>
      <c r="T25" s="47"/>
    </row>
    <row r="26" spans="1:20" ht="35.049999999999997" customHeight="1" x14ac:dyDescent="0.3">
      <c r="A26" s="398" t="s">
        <v>686</v>
      </c>
      <c r="B26" s="17"/>
      <c r="C26" s="405" t="s">
        <v>621</v>
      </c>
      <c r="D26" s="501">
        <v>-5.8360000000000003</v>
      </c>
      <c r="E26" s="502">
        <v>-0.75700000000000001</v>
      </c>
      <c r="F26" s="503">
        <v>-3.6999999999999998E-2</v>
      </c>
      <c r="G26" s="508">
        <v>0</v>
      </c>
      <c r="H26" s="509">
        <v>0</v>
      </c>
      <c r="I26" s="399">
        <v>0</v>
      </c>
      <c r="J26" s="500">
        <v>0</v>
      </c>
      <c r="K26" s="46"/>
      <c r="L26" s="46"/>
      <c r="M26" s="47"/>
      <c r="N26" s="47"/>
      <c r="O26" s="47"/>
      <c r="P26" s="47"/>
      <c r="Q26" s="47"/>
      <c r="R26" s="47"/>
      <c r="S26" s="47"/>
      <c r="T26" s="47"/>
    </row>
    <row r="27" spans="1:20" ht="35.049999999999997" customHeight="1" x14ac:dyDescent="0.3">
      <c r="A27" s="398" t="s">
        <v>687</v>
      </c>
      <c r="B27" s="17"/>
      <c r="C27" s="405">
        <v>0</v>
      </c>
      <c r="D27" s="501">
        <v>-5.8360000000000003</v>
      </c>
      <c r="E27" s="502">
        <v>-0.75700000000000001</v>
      </c>
      <c r="F27" s="503">
        <v>-3.6999999999999998E-2</v>
      </c>
      <c r="G27" s="508">
        <v>0</v>
      </c>
      <c r="H27" s="509">
        <v>0</v>
      </c>
      <c r="I27" s="399">
        <v>0</v>
      </c>
      <c r="J27" s="499">
        <v>0.22800000000000001</v>
      </c>
      <c r="K27" s="46"/>
      <c r="L27" s="46"/>
      <c r="M27" s="47"/>
      <c r="N27" s="47"/>
      <c r="O27" s="47"/>
      <c r="P27" s="47"/>
      <c r="Q27" s="47"/>
      <c r="R27" s="47"/>
      <c r="S27" s="47"/>
      <c r="T27" s="47"/>
    </row>
    <row r="28" spans="1:20" ht="35.049999999999997" customHeight="1" x14ac:dyDescent="0.3">
      <c r="A28" s="401" t="s">
        <v>798</v>
      </c>
      <c r="B28" s="17"/>
      <c r="C28" s="405" t="s">
        <v>639</v>
      </c>
      <c r="D28" s="501">
        <v>3.9830000000000001</v>
      </c>
      <c r="E28" s="502">
        <v>0.51700000000000002</v>
      </c>
      <c r="F28" s="503">
        <v>2.5000000000000001E-2</v>
      </c>
      <c r="G28" s="508">
        <v>5.09</v>
      </c>
      <c r="H28" s="509">
        <v>0</v>
      </c>
      <c r="I28" s="399">
        <v>0</v>
      </c>
      <c r="J28" s="500">
        <v>0</v>
      </c>
      <c r="K28" s="46"/>
      <c r="L28" s="46"/>
      <c r="M28" s="47"/>
      <c r="N28" s="47"/>
      <c r="O28" s="47"/>
      <c r="P28" s="47"/>
      <c r="Q28" s="47"/>
      <c r="R28" s="47"/>
      <c r="S28" s="47"/>
      <c r="T28" s="47"/>
    </row>
    <row r="29" spans="1:20" ht="35.049999999999997" customHeight="1" x14ac:dyDescent="0.3">
      <c r="A29" s="401" t="s">
        <v>799</v>
      </c>
      <c r="B29" s="17"/>
      <c r="C29" s="405">
        <v>2</v>
      </c>
      <c r="D29" s="501">
        <v>3.9830000000000001</v>
      </c>
      <c r="E29" s="502">
        <v>0.51700000000000002</v>
      </c>
      <c r="F29" s="503">
        <v>2.5000000000000001E-2</v>
      </c>
      <c r="G29" s="509">
        <v>0</v>
      </c>
      <c r="H29" s="509">
        <v>0</v>
      </c>
      <c r="I29" s="399">
        <v>0</v>
      </c>
      <c r="J29" s="500">
        <v>0</v>
      </c>
      <c r="K29" s="46"/>
      <c r="L29" s="46"/>
      <c r="M29" s="47"/>
      <c r="N29" s="47"/>
      <c r="O29" s="47"/>
      <c r="P29" s="47"/>
      <c r="Q29" s="47"/>
      <c r="R29" s="47"/>
      <c r="S29" s="47"/>
      <c r="T29" s="47"/>
    </row>
    <row r="30" spans="1:20" ht="35.049999999999997" customHeight="1" x14ac:dyDescent="0.3">
      <c r="A30" s="401" t="s">
        <v>800</v>
      </c>
      <c r="B30" s="17"/>
      <c r="C30" s="405" t="s">
        <v>640</v>
      </c>
      <c r="D30" s="501">
        <v>3.5110000000000001</v>
      </c>
      <c r="E30" s="502">
        <v>0.45500000000000002</v>
      </c>
      <c r="F30" s="503">
        <v>2.1999999999999999E-2</v>
      </c>
      <c r="G30" s="508">
        <v>3.87</v>
      </c>
      <c r="H30" s="509">
        <v>0</v>
      </c>
      <c r="I30" s="399">
        <v>0</v>
      </c>
      <c r="J30" s="500">
        <v>0</v>
      </c>
      <c r="K30" s="46"/>
      <c r="L30" s="46"/>
      <c r="M30" s="47"/>
      <c r="N30" s="47"/>
      <c r="O30" s="47"/>
      <c r="P30" s="47"/>
      <c r="Q30" s="47"/>
      <c r="R30" s="47"/>
      <c r="S30" s="47"/>
      <c r="T30" s="47"/>
    </row>
    <row r="31" spans="1:20" ht="35.049999999999997" customHeight="1" x14ac:dyDescent="0.3">
      <c r="A31" s="401" t="s">
        <v>801</v>
      </c>
      <c r="B31" s="17"/>
      <c r="C31" s="405" t="s">
        <v>640</v>
      </c>
      <c r="D31" s="501">
        <v>3.5110000000000001</v>
      </c>
      <c r="E31" s="502">
        <v>0.45500000000000002</v>
      </c>
      <c r="F31" s="503">
        <v>2.1999999999999999E-2</v>
      </c>
      <c r="G31" s="508">
        <v>5.36</v>
      </c>
      <c r="H31" s="509">
        <v>0</v>
      </c>
      <c r="I31" s="399">
        <v>0</v>
      </c>
      <c r="J31" s="500">
        <v>0</v>
      </c>
      <c r="K31" s="46"/>
      <c r="L31" s="46"/>
      <c r="M31" s="47"/>
      <c r="N31" s="47"/>
      <c r="O31" s="47"/>
      <c r="P31" s="47"/>
      <c r="Q31" s="47"/>
      <c r="R31" s="47"/>
      <c r="S31" s="47"/>
      <c r="T31" s="47"/>
    </row>
    <row r="32" spans="1:20" ht="35.049999999999997" customHeight="1" x14ac:dyDescent="0.3">
      <c r="A32" s="401" t="s">
        <v>802</v>
      </c>
      <c r="B32" s="17"/>
      <c r="C32" s="405" t="s">
        <v>640</v>
      </c>
      <c r="D32" s="501">
        <v>3.5110000000000001</v>
      </c>
      <c r="E32" s="502">
        <v>0.45500000000000002</v>
      </c>
      <c r="F32" s="503">
        <v>2.1999999999999999E-2</v>
      </c>
      <c r="G32" s="508">
        <v>8.77</v>
      </c>
      <c r="H32" s="509">
        <v>0</v>
      </c>
      <c r="I32" s="399">
        <v>0</v>
      </c>
      <c r="J32" s="500">
        <v>0</v>
      </c>
      <c r="K32" s="46"/>
      <c r="L32" s="46"/>
      <c r="M32" s="47"/>
      <c r="N32" s="47"/>
      <c r="O32" s="47"/>
      <c r="P32" s="47"/>
      <c r="Q32" s="47"/>
      <c r="R32" s="47"/>
      <c r="S32" s="47"/>
      <c r="T32" s="47"/>
    </row>
    <row r="33" spans="1:20" ht="35.049999999999997" customHeight="1" x14ac:dyDescent="0.3">
      <c r="A33" s="401" t="s">
        <v>803</v>
      </c>
      <c r="B33" s="17"/>
      <c r="C33" s="405" t="s">
        <v>640</v>
      </c>
      <c r="D33" s="501">
        <v>3.5110000000000001</v>
      </c>
      <c r="E33" s="502">
        <v>0.45500000000000002</v>
      </c>
      <c r="F33" s="503">
        <v>2.1999999999999999E-2</v>
      </c>
      <c r="G33" s="508">
        <v>14.98</v>
      </c>
      <c r="H33" s="509">
        <v>0</v>
      </c>
      <c r="I33" s="399">
        <v>0</v>
      </c>
      <c r="J33" s="500">
        <v>0</v>
      </c>
      <c r="K33" s="46"/>
      <c r="L33" s="46"/>
      <c r="M33" s="47"/>
      <c r="N33" s="47"/>
      <c r="O33" s="47"/>
      <c r="P33" s="47"/>
      <c r="Q33" s="47"/>
      <c r="R33" s="47"/>
      <c r="S33" s="47"/>
      <c r="T33" s="47"/>
    </row>
    <row r="34" spans="1:20" ht="35.049999999999997" customHeight="1" x14ac:dyDescent="0.3">
      <c r="A34" s="401" t="s">
        <v>804</v>
      </c>
      <c r="B34" s="17"/>
      <c r="C34" s="405" t="s">
        <v>640</v>
      </c>
      <c r="D34" s="501">
        <v>3.5110000000000001</v>
      </c>
      <c r="E34" s="502">
        <v>0.45500000000000002</v>
      </c>
      <c r="F34" s="503">
        <v>2.1999999999999999E-2</v>
      </c>
      <c r="G34" s="508">
        <v>34.11</v>
      </c>
      <c r="H34" s="509">
        <v>0</v>
      </c>
      <c r="I34" s="399">
        <v>0</v>
      </c>
      <c r="J34" s="500">
        <v>0</v>
      </c>
      <c r="K34" s="46"/>
      <c r="L34" s="46"/>
      <c r="M34" s="47"/>
      <c r="N34" s="47"/>
      <c r="O34" s="47"/>
      <c r="P34" s="47"/>
      <c r="Q34" s="47"/>
      <c r="R34" s="47"/>
      <c r="S34" s="47"/>
      <c r="T34" s="47"/>
    </row>
    <row r="35" spans="1:20" ht="35.049999999999997" customHeight="1" x14ac:dyDescent="0.3">
      <c r="A35" s="401" t="s">
        <v>584</v>
      </c>
      <c r="B35" s="17"/>
      <c r="C35" s="405">
        <v>4</v>
      </c>
      <c r="D35" s="501">
        <v>3.5110000000000001</v>
      </c>
      <c r="E35" s="502">
        <v>0.45500000000000002</v>
      </c>
      <c r="F35" s="503">
        <v>2.1999999999999999E-2</v>
      </c>
      <c r="G35" s="509">
        <v>0</v>
      </c>
      <c r="H35" s="509">
        <v>0</v>
      </c>
      <c r="I35" s="399">
        <v>0</v>
      </c>
      <c r="J35" s="500">
        <v>0</v>
      </c>
      <c r="K35" s="46"/>
      <c r="L35" s="46"/>
      <c r="M35" s="47"/>
      <c r="N35" s="47"/>
      <c r="O35" s="47"/>
      <c r="P35" s="47"/>
      <c r="Q35" s="47"/>
      <c r="R35" s="47"/>
      <c r="S35" s="47"/>
      <c r="T35" s="47"/>
    </row>
    <row r="36" spans="1:20" ht="35.049999999999997" customHeight="1" x14ac:dyDescent="0.3">
      <c r="A36" s="401" t="s">
        <v>805</v>
      </c>
      <c r="B36" s="17"/>
      <c r="C36" s="405">
        <v>0</v>
      </c>
      <c r="D36" s="501">
        <v>2.742</v>
      </c>
      <c r="E36" s="502">
        <v>0.307</v>
      </c>
      <c r="F36" s="503">
        <v>1.4E-2</v>
      </c>
      <c r="G36" s="508">
        <v>8.09</v>
      </c>
      <c r="H36" s="508">
        <v>1.7</v>
      </c>
      <c r="I36" s="400">
        <v>3.17</v>
      </c>
      <c r="J36" s="499">
        <v>0.10199999999999999</v>
      </c>
      <c r="K36" s="46"/>
      <c r="L36" s="46"/>
      <c r="M36" s="47"/>
      <c r="N36" s="47"/>
      <c r="O36" s="47"/>
      <c r="P36" s="47"/>
      <c r="Q36" s="47"/>
      <c r="R36" s="47"/>
      <c r="S36" s="47"/>
      <c r="T36" s="47"/>
    </row>
    <row r="37" spans="1:20" ht="35.049999999999997" customHeight="1" x14ac:dyDescent="0.3">
      <c r="A37" s="401" t="s">
        <v>806</v>
      </c>
      <c r="B37" s="17"/>
      <c r="C37" s="405">
        <v>0</v>
      </c>
      <c r="D37" s="501">
        <v>2.742</v>
      </c>
      <c r="E37" s="502">
        <v>0.307</v>
      </c>
      <c r="F37" s="503">
        <v>1.4E-2</v>
      </c>
      <c r="G37" s="508">
        <v>63.57</v>
      </c>
      <c r="H37" s="508">
        <v>1.7</v>
      </c>
      <c r="I37" s="400">
        <v>3.17</v>
      </c>
      <c r="J37" s="499">
        <v>0.10199999999999999</v>
      </c>
      <c r="K37" s="46"/>
      <c r="L37" s="46"/>
      <c r="M37" s="47"/>
      <c r="N37" s="47"/>
      <c r="O37" s="47"/>
      <c r="P37" s="47"/>
      <c r="Q37" s="47"/>
      <c r="R37" s="47"/>
      <c r="S37" s="47"/>
      <c r="T37" s="47"/>
    </row>
    <row r="38" spans="1:20" ht="35.049999999999997" customHeight="1" x14ac:dyDescent="0.3">
      <c r="A38" s="401" t="s">
        <v>807</v>
      </c>
      <c r="B38" s="17"/>
      <c r="C38" s="405">
        <v>0</v>
      </c>
      <c r="D38" s="501">
        <v>2.742</v>
      </c>
      <c r="E38" s="502">
        <v>0.307</v>
      </c>
      <c r="F38" s="503">
        <v>1.4E-2</v>
      </c>
      <c r="G38" s="508">
        <v>111.22</v>
      </c>
      <c r="H38" s="508">
        <v>1.7</v>
      </c>
      <c r="I38" s="400">
        <v>3.17</v>
      </c>
      <c r="J38" s="499">
        <v>0.10199999999999999</v>
      </c>
      <c r="K38" s="46"/>
      <c r="L38" s="46"/>
      <c r="M38" s="47"/>
      <c r="N38" s="47"/>
      <c r="O38" s="47"/>
      <c r="P38" s="47"/>
      <c r="Q38" s="47"/>
      <c r="R38" s="47"/>
      <c r="S38" s="47"/>
      <c r="T38" s="47"/>
    </row>
    <row r="39" spans="1:20" ht="35.049999999999997" customHeight="1" x14ac:dyDescent="0.3">
      <c r="A39" s="401" t="s">
        <v>808</v>
      </c>
      <c r="B39" s="17"/>
      <c r="C39" s="405">
        <v>0</v>
      </c>
      <c r="D39" s="501">
        <v>2.742</v>
      </c>
      <c r="E39" s="502">
        <v>0.307</v>
      </c>
      <c r="F39" s="503">
        <v>1.4E-2</v>
      </c>
      <c r="G39" s="508">
        <v>167.69</v>
      </c>
      <c r="H39" s="508">
        <v>1.7</v>
      </c>
      <c r="I39" s="400">
        <v>3.17</v>
      </c>
      <c r="J39" s="499">
        <v>0.10199999999999999</v>
      </c>
      <c r="K39" s="46"/>
      <c r="L39" s="46"/>
      <c r="M39" s="47"/>
      <c r="N39" s="47"/>
      <c r="O39" s="47"/>
      <c r="P39" s="47"/>
      <c r="Q39" s="47"/>
      <c r="R39" s="47"/>
      <c r="S39" s="47"/>
      <c r="T39" s="47"/>
    </row>
    <row r="40" spans="1:20" ht="35.049999999999997" customHeight="1" x14ac:dyDescent="0.3">
      <c r="A40" s="401" t="s">
        <v>809</v>
      </c>
      <c r="B40" s="17"/>
      <c r="C40" s="405">
        <v>0</v>
      </c>
      <c r="D40" s="501">
        <v>2.742</v>
      </c>
      <c r="E40" s="502">
        <v>0.307</v>
      </c>
      <c r="F40" s="503">
        <v>1.4E-2</v>
      </c>
      <c r="G40" s="508">
        <v>416.21</v>
      </c>
      <c r="H40" s="508">
        <v>1.7</v>
      </c>
      <c r="I40" s="400">
        <v>3.17</v>
      </c>
      <c r="J40" s="499">
        <v>0.10199999999999999</v>
      </c>
      <c r="K40" s="46"/>
      <c r="L40" s="46"/>
      <c r="M40" s="47"/>
      <c r="N40" s="47"/>
      <c r="O40" s="47"/>
      <c r="P40" s="47"/>
      <c r="Q40" s="47"/>
      <c r="R40" s="47"/>
      <c r="S40" s="47"/>
      <c r="T40" s="47"/>
    </row>
    <row r="41" spans="1:20" ht="35.049999999999997" customHeight="1" x14ac:dyDescent="0.3">
      <c r="A41" s="401" t="s">
        <v>810</v>
      </c>
      <c r="B41" s="17"/>
      <c r="C41" s="405">
        <v>0</v>
      </c>
      <c r="D41" s="501">
        <v>2.8889999999999998</v>
      </c>
      <c r="E41" s="502">
        <v>0.221</v>
      </c>
      <c r="F41" s="503">
        <v>8.9999999999999993E-3</v>
      </c>
      <c r="G41" s="508">
        <v>29.84</v>
      </c>
      <c r="H41" s="508">
        <v>3.64</v>
      </c>
      <c r="I41" s="400">
        <v>4.75</v>
      </c>
      <c r="J41" s="499">
        <v>9.0999999999999998E-2</v>
      </c>
      <c r="K41" s="46"/>
      <c r="L41" s="46"/>
      <c r="M41" s="47"/>
      <c r="N41" s="47"/>
      <c r="O41" s="47"/>
      <c r="P41" s="47"/>
      <c r="Q41" s="47"/>
      <c r="R41" s="47"/>
      <c r="S41" s="47"/>
      <c r="T41" s="47"/>
    </row>
    <row r="42" spans="1:20" ht="35.049999999999997" customHeight="1" x14ac:dyDescent="0.3">
      <c r="A42" s="401" t="s">
        <v>811</v>
      </c>
      <c r="B42" s="17"/>
      <c r="C42" s="405">
        <v>0</v>
      </c>
      <c r="D42" s="501">
        <v>2.8889999999999998</v>
      </c>
      <c r="E42" s="502">
        <v>0.221</v>
      </c>
      <c r="F42" s="503">
        <v>8.9999999999999993E-3</v>
      </c>
      <c r="G42" s="508">
        <v>118.46</v>
      </c>
      <c r="H42" s="508">
        <v>3.64</v>
      </c>
      <c r="I42" s="400">
        <v>4.75</v>
      </c>
      <c r="J42" s="499">
        <v>9.0999999999999998E-2</v>
      </c>
      <c r="K42" s="46"/>
      <c r="L42" s="46"/>
      <c r="M42" s="47"/>
      <c r="N42" s="47"/>
      <c r="O42" s="47"/>
      <c r="P42" s="47"/>
      <c r="Q42" s="47"/>
      <c r="R42" s="47"/>
      <c r="S42" s="47"/>
      <c r="T42" s="47"/>
    </row>
    <row r="43" spans="1:20" ht="35.049999999999997" customHeight="1" x14ac:dyDescent="0.3">
      <c r="A43" s="401" t="s">
        <v>812</v>
      </c>
      <c r="B43" s="17"/>
      <c r="C43" s="405">
        <v>0</v>
      </c>
      <c r="D43" s="501">
        <v>2.8889999999999998</v>
      </c>
      <c r="E43" s="502">
        <v>0.221</v>
      </c>
      <c r="F43" s="503">
        <v>8.9999999999999993E-3</v>
      </c>
      <c r="G43" s="508">
        <v>194.57</v>
      </c>
      <c r="H43" s="508">
        <v>3.64</v>
      </c>
      <c r="I43" s="400">
        <v>4.75</v>
      </c>
      <c r="J43" s="499">
        <v>9.0999999999999998E-2</v>
      </c>
      <c r="K43" s="46"/>
      <c r="L43" s="46"/>
      <c r="M43" s="47"/>
      <c r="N43" s="47"/>
      <c r="O43" s="47"/>
      <c r="P43" s="47"/>
      <c r="Q43" s="47"/>
      <c r="R43" s="47"/>
      <c r="S43" s="47"/>
      <c r="T43" s="47"/>
    </row>
    <row r="44" spans="1:20" ht="35.049999999999997" customHeight="1" x14ac:dyDescent="0.3">
      <c r="A44" s="401" t="s">
        <v>813</v>
      </c>
      <c r="B44" s="17"/>
      <c r="C44" s="405">
        <v>0</v>
      </c>
      <c r="D44" s="501">
        <v>2.8889999999999998</v>
      </c>
      <c r="E44" s="502">
        <v>0.221</v>
      </c>
      <c r="F44" s="503">
        <v>8.9999999999999993E-3</v>
      </c>
      <c r="G44" s="508">
        <v>284.77</v>
      </c>
      <c r="H44" s="508">
        <v>3.64</v>
      </c>
      <c r="I44" s="400">
        <v>4.75</v>
      </c>
      <c r="J44" s="499">
        <v>9.0999999999999998E-2</v>
      </c>
      <c r="K44" s="46"/>
      <c r="L44" s="46"/>
      <c r="M44" s="47"/>
      <c r="N44" s="47"/>
      <c r="O44" s="47"/>
      <c r="P44" s="47"/>
      <c r="Q44" s="47"/>
      <c r="R44" s="47"/>
      <c r="S44" s="47"/>
      <c r="T44" s="47"/>
    </row>
    <row r="45" spans="1:20" ht="35.049999999999997" customHeight="1" x14ac:dyDescent="0.3">
      <c r="A45" s="401" t="s">
        <v>814</v>
      </c>
      <c r="B45" s="17"/>
      <c r="C45" s="405">
        <v>0</v>
      </c>
      <c r="D45" s="501">
        <v>2.8889999999999998</v>
      </c>
      <c r="E45" s="502">
        <v>0.221</v>
      </c>
      <c r="F45" s="503">
        <v>8.9999999999999993E-3</v>
      </c>
      <c r="G45" s="508">
        <v>681.76</v>
      </c>
      <c r="H45" s="508">
        <v>3.64</v>
      </c>
      <c r="I45" s="400">
        <v>4.75</v>
      </c>
      <c r="J45" s="499">
        <v>9.0999999999999998E-2</v>
      </c>
      <c r="K45" s="46"/>
      <c r="L45" s="46"/>
      <c r="M45" s="47"/>
      <c r="N45" s="47"/>
      <c r="O45" s="47"/>
      <c r="P45" s="47"/>
      <c r="Q45" s="47"/>
      <c r="R45" s="47"/>
      <c r="S45" s="47"/>
      <c r="T45" s="47"/>
    </row>
    <row r="46" spans="1:20" ht="35.049999999999997" customHeight="1" x14ac:dyDescent="0.3">
      <c r="A46" s="401" t="s">
        <v>815</v>
      </c>
      <c r="B46" s="17"/>
      <c r="C46" s="405">
        <v>0</v>
      </c>
      <c r="D46" s="501">
        <v>2.6970000000000001</v>
      </c>
      <c r="E46" s="502">
        <v>0.183</v>
      </c>
      <c r="F46" s="503">
        <v>8.0000000000000002E-3</v>
      </c>
      <c r="G46" s="508">
        <v>147.81</v>
      </c>
      <c r="H46" s="508">
        <v>4.9800000000000004</v>
      </c>
      <c r="I46" s="400">
        <v>6.02</v>
      </c>
      <c r="J46" s="499">
        <v>7.9000000000000001E-2</v>
      </c>
      <c r="K46" s="46"/>
      <c r="L46" s="46"/>
      <c r="M46" s="47"/>
      <c r="N46" s="47"/>
      <c r="O46" s="47"/>
      <c r="P46" s="47"/>
      <c r="Q46" s="47"/>
      <c r="R46" s="47"/>
      <c r="S46" s="47"/>
      <c r="T46" s="47"/>
    </row>
    <row r="47" spans="1:20" ht="35.049999999999997" customHeight="1" x14ac:dyDescent="0.3">
      <c r="A47" s="401" t="s">
        <v>816</v>
      </c>
      <c r="B47" s="17"/>
      <c r="C47" s="405">
        <v>0</v>
      </c>
      <c r="D47" s="501">
        <v>2.6970000000000001</v>
      </c>
      <c r="E47" s="502">
        <v>0.183</v>
      </c>
      <c r="F47" s="503">
        <v>8.0000000000000002E-3</v>
      </c>
      <c r="G47" s="508">
        <v>770.29</v>
      </c>
      <c r="H47" s="508">
        <v>4.9800000000000004</v>
      </c>
      <c r="I47" s="400">
        <v>6.02</v>
      </c>
      <c r="J47" s="499">
        <v>7.9000000000000001E-2</v>
      </c>
      <c r="K47" s="46"/>
      <c r="L47" s="46"/>
      <c r="M47" s="47"/>
      <c r="N47" s="47"/>
      <c r="O47" s="47"/>
      <c r="P47" s="47"/>
      <c r="Q47" s="47"/>
      <c r="R47" s="47"/>
      <c r="S47" s="47"/>
      <c r="T47" s="47"/>
    </row>
    <row r="48" spans="1:20" ht="35.049999999999997" customHeight="1" x14ac:dyDescent="0.3">
      <c r="A48" s="401" t="s">
        <v>817</v>
      </c>
      <c r="B48" s="17"/>
      <c r="C48" s="405">
        <v>0</v>
      </c>
      <c r="D48" s="501">
        <v>2.6970000000000001</v>
      </c>
      <c r="E48" s="502">
        <v>0.183</v>
      </c>
      <c r="F48" s="503">
        <v>8.0000000000000002E-3</v>
      </c>
      <c r="G48" s="508">
        <v>1963.98</v>
      </c>
      <c r="H48" s="508">
        <v>4.9800000000000004</v>
      </c>
      <c r="I48" s="400">
        <v>6.02</v>
      </c>
      <c r="J48" s="499">
        <v>7.9000000000000001E-2</v>
      </c>
      <c r="K48" s="46"/>
      <c r="L48" s="46"/>
      <c r="M48" s="47"/>
      <c r="N48" s="47"/>
      <c r="O48" s="47"/>
      <c r="P48" s="47"/>
      <c r="Q48" s="47"/>
      <c r="R48" s="47"/>
      <c r="S48" s="47"/>
      <c r="T48" s="47"/>
    </row>
    <row r="49" spans="1:20" ht="35.049999999999997" customHeight="1" x14ac:dyDescent="0.3">
      <c r="A49" s="401" t="s">
        <v>818</v>
      </c>
      <c r="B49" s="17"/>
      <c r="C49" s="405">
        <v>0</v>
      </c>
      <c r="D49" s="501">
        <v>2.6970000000000001</v>
      </c>
      <c r="E49" s="502">
        <v>0.183</v>
      </c>
      <c r="F49" s="503">
        <v>8.0000000000000002E-3</v>
      </c>
      <c r="G49" s="508">
        <v>3481.34</v>
      </c>
      <c r="H49" s="508">
        <v>4.9800000000000004</v>
      </c>
      <c r="I49" s="400">
        <v>6.02</v>
      </c>
      <c r="J49" s="499">
        <v>7.9000000000000001E-2</v>
      </c>
      <c r="K49" s="46"/>
      <c r="L49" s="46"/>
      <c r="M49" s="47"/>
      <c r="N49" s="47"/>
      <c r="O49" s="47"/>
      <c r="P49" s="47"/>
      <c r="Q49" s="47"/>
      <c r="R49" s="47"/>
      <c r="S49" s="47"/>
      <c r="T49" s="47"/>
    </row>
    <row r="50" spans="1:20" ht="35.049999999999997" customHeight="1" x14ac:dyDescent="0.3">
      <c r="A50" s="401" t="s">
        <v>819</v>
      </c>
      <c r="B50" s="17"/>
      <c r="C50" s="405">
        <v>0</v>
      </c>
      <c r="D50" s="501">
        <v>2.6970000000000001</v>
      </c>
      <c r="E50" s="502">
        <v>0.183</v>
      </c>
      <c r="F50" s="503">
        <v>8.0000000000000002E-3</v>
      </c>
      <c r="G50" s="508">
        <v>8905.42</v>
      </c>
      <c r="H50" s="508">
        <v>4.9800000000000004</v>
      </c>
      <c r="I50" s="400">
        <v>6.02</v>
      </c>
      <c r="J50" s="499">
        <v>7.9000000000000001E-2</v>
      </c>
      <c r="K50" s="46"/>
      <c r="L50" s="46"/>
      <c r="M50" s="47"/>
      <c r="N50" s="47"/>
      <c r="O50" s="47"/>
      <c r="P50" s="47"/>
      <c r="Q50" s="47"/>
      <c r="R50" s="47"/>
      <c r="S50" s="47"/>
      <c r="T50" s="47"/>
    </row>
    <row r="51" spans="1:20" ht="35.049999999999997" customHeight="1" x14ac:dyDescent="0.3">
      <c r="A51" s="401" t="s">
        <v>585</v>
      </c>
      <c r="B51" s="17"/>
      <c r="C51" s="405" t="s">
        <v>616</v>
      </c>
      <c r="D51" s="504">
        <v>9.0950000000000006</v>
      </c>
      <c r="E51" s="505">
        <v>1.6579999999999999</v>
      </c>
      <c r="F51" s="503">
        <v>1.268</v>
      </c>
      <c r="G51" s="509">
        <v>0</v>
      </c>
      <c r="H51" s="509">
        <v>0</v>
      </c>
      <c r="I51" s="399">
        <v>0</v>
      </c>
      <c r="J51" s="500">
        <v>0</v>
      </c>
      <c r="K51" s="46"/>
      <c r="L51" s="46"/>
      <c r="M51" s="47"/>
      <c r="N51" s="47"/>
      <c r="O51" s="47"/>
      <c r="P51" s="47"/>
      <c r="Q51" s="47"/>
      <c r="R51" s="47"/>
      <c r="S51" s="47"/>
      <c r="T51" s="47"/>
    </row>
    <row r="52" spans="1:20" ht="35.049999999999997" customHeight="1" x14ac:dyDescent="0.3">
      <c r="A52" s="401" t="s">
        <v>688</v>
      </c>
      <c r="B52" s="17"/>
      <c r="C52" s="405" t="s">
        <v>621</v>
      </c>
      <c r="D52" s="501">
        <v>-5.8360000000000003</v>
      </c>
      <c r="E52" s="502">
        <v>-0.75700000000000001</v>
      </c>
      <c r="F52" s="503">
        <v>-3.6999999999999998E-2</v>
      </c>
      <c r="G52" s="508">
        <v>0</v>
      </c>
      <c r="H52" s="509">
        <v>0</v>
      </c>
      <c r="I52" s="399">
        <v>0</v>
      </c>
      <c r="J52" s="500">
        <v>0</v>
      </c>
      <c r="K52" s="46"/>
      <c r="L52" s="46"/>
      <c r="M52" s="47"/>
      <c r="N52" s="47"/>
      <c r="O52" s="47"/>
      <c r="P52" s="47"/>
      <c r="Q52" s="47"/>
      <c r="R52" s="47"/>
      <c r="S52" s="47"/>
      <c r="T52" s="47"/>
    </row>
    <row r="53" spans="1:20" ht="35.049999999999997" customHeight="1" x14ac:dyDescent="0.3">
      <c r="A53" s="401" t="s">
        <v>689</v>
      </c>
      <c r="B53" s="17"/>
      <c r="C53" s="405" t="s">
        <v>621</v>
      </c>
      <c r="D53" s="501">
        <v>-5.2140000000000004</v>
      </c>
      <c r="E53" s="502">
        <v>-0.61899999999999999</v>
      </c>
      <c r="F53" s="503">
        <v>-2.9000000000000001E-2</v>
      </c>
      <c r="G53" s="508">
        <v>0</v>
      </c>
      <c r="H53" s="509">
        <v>0</v>
      </c>
      <c r="I53" s="399">
        <v>0</v>
      </c>
      <c r="J53" s="500">
        <v>0</v>
      </c>
      <c r="K53" s="46"/>
      <c r="L53" s="46"/>
      <c r="M53" s="47"/>
      <c r="N53" s="47"/>
      <c r="O53" s="47"/>
      <c r="P53" s="47"/>
      <c r="Q53" s="47"/>
      <c r="R53" s="47"/>
      <c r="S53" s="47"/>
      <c r="T53" s="47"/>
    </row>
    <row r="54" spans="1:20" ht="35.049999999999997" customHeight="1" x14ac:dyDescent="0.3">
      <c r="A54" s="401" t="s">
        <v>599</v>
      </c>
      <c r="B54" s="17"/>
      <c r="C54" s="405">
        <v>0</v>
      </c>
      <c r="D54" s="501">
        <v>-5.8360000000000003</v>
      </c>
      <c r="E54" s="502">
        <v>-0.75700000000000001</v>
      </c>
      <c r="F54" s="503">
        <v>-3.6999999999999998E-2</v>
      </c>
      <c r="G54" s="508">
        <v>0</v>
      </c>
      <c r="H54" s="509">
        <v>0</v>
      </c>
      <c r="I54" s="399">
        <v>0</v>
      </c>
      <c r="J54" s="499">
        <v>0.22800000000000001</v>
      </c>
      <c r="K54" s="46"/>
      <c r="L54" s="46"/>
      <c r="M54" s="47"/>
      <c r="N54" s="47"/>
      <c r="O54" s="47"/>
      <c r="P54" s="47"/>
      <c r="Q54" s="47"/>
      <c r="R54" s="47"/>
      <c r="S54" s="47"/>
      <c r="T54" s="47"/>
    </row>
    <row r="55" spans="1:20" ht="35.049999999999997" customHeight="1" x14ac:dyDescent="0.3">
      <c r="A55" s="401" t="s">
        <v>690</v>
      </c>
      <c r="B55" s="17"/>
      <c r="C55" s="405">
        <v>0</v>
      </c>
      <c r="D55" s="501">
        <v>-5.2140000000000004</v>
      </c>
      <c r="E55" s="502">
        <v>-0.61899999999999999</v>
      </c>
      <c r="F55" s="503">
        <v>-2.9000000000000001E-2</v>
      </c>
      <c r="G55" s="508">
        <v>0</v>
      </c>
      <c r="H55" s="509">
        <v>0</v>
      </c>
      <c r="I55" s="399">
        <v>0</v>
      </c>
      <c r="J55" s="499">
        <v>0.191</v>
      </c>
      <c r="K55" s="46"/>
      <c r="L55" s="46"/>
      <c r="M55" s="47"/>
      <c r="N55" s="47"/>
      <c r="O55" s="47"/>
      <c r="P55" s="47"/>
      <c r="Q55" s="47"/>
      <c r="R55" s="47"/>
      <c r="S55" s="47"/>
      <c r="T55" s="47"/>
    </row>
    <row r="56" spans="1:20" ht="35.049999999999997" customHeight="1" x14ac:dyDescent="0.3">
      <c r="A56" s="401" t="s">
        <v>600</v>
      </c>
      <c r="B56" s="17"/>
      <c r="C56" s="405">
        <v>0</v>
      </c>
      <c r="D56" s="501">
        <v>-4.0259999999999998</v>
      </c>
      <c r="E56" s="502">
        <v>-0.307</v>
      </c>
      <c r="F56" s="503">
        <v>-1.2999999999999999E-2</v>
      </c>
      <c r="G56" s="508">
        <v>0</v>
      </c>
      <c r="H56" s="509">
        <v>0</v>
      </c>
      <c r="I56" s="399">
        <v>0</v>
      </c>
      <c r="J56" s="499">
        <v>0.16600000000000001</v>
      </c>
      <c r="K56" s="46"/>
      <c r="L56" s="46"/>
      <c r="M56" s="47"/>
      <c r="N56" s="47"/>
      <c r="O56" s="47"/>
      <c r="P56" s="47"/>
      <c r="Q56" s="47"/>
      <c r="R56" s="47"/>
      <c r="S56" s="47"/>
      <c r="T56" s="47"/>
    </row>
    <row r="57" spans="1:20" ht="35.049999999999997" customHeight="1" x14ac:dyDescent="0.3">
      <c r="A57" s="398" t="s">
        <v>820</v>
      </c>
      <c r="B57" s="17"/>
      <c r="C57" s="405" t="s">
        <v>639</v>
      </c>
      <c r="D57" s="501">
        <v>2.8639999999999999</v>
      </c>
      <c r="E57" s="502">
        <v>0.371</v>
      </c>
      <c r="F57" s="503">
        <v>1.7999999999999999E-2</v>
      </c>
      <c r="G57" s="508">
        <v>3.74</v>
      </c>
      <c r="H57" s="509">
        <v>0</v>
      </c>
      <c r="I57" s="399">
        <v>0</v>
      </c>
      <c r="J57" s="500">
        <v>0</v>
      </c>
      <c r="K57" s="46"/>
      <c r="L57" s="46"/>
      <c r="M57" s="47"/>
      <c r="N57" s="47"/>
      <c r="O57" s="47"/>
      <c r="P57" s="47"/>
      <c r="Q57" s="47"/>
      <c r="R57" s="47"/>
      <c r="S57" s="47"/>
      <c r="T57" s="47"/>
    </row>
    <row r="58" spans="1:20" ht="35.049999999999997" customHeight="1" x14ac:dyDescent="0.3">
      <c r="A58" s="398" t="s">
        <v>821</v>
      </c>
      <c r="B58" s="17"/>
      <c r="C58" s="405">
        <v>2</v>
      </c>
      <c r="D58" s="501">
        <v>2.8639999999999999</v>
      </c>
      <c r="E58" s="502">
        <v>0.371</v>
      </c>
      <c r="F58" s="503">
        <v>1.7999999999999999E-2</v>
      </c>
      <c r="G58" s="509">
        <v>0</v>
      </c>
      <c r="H58" s="509">
        <v>0</v>
      </c>
      <c r="I58" s="399">
        <v>0</v>
      </c>
      <c r="J58" s="500">
        <v>0</v>
      </c>
      <c r="K58" s="46"/>
      <c r="L58" s="46"/>
      <c r="M58" s="47"/>
      <c r="N58" s="47"/>
      <c r="O58" s="47"/>
      <c r="P58" s="47"/>
      <c r="Q58" s="47"/>
      <c r="R58" s="47"/>
      <c r="S58" s="47"/>
      <c r="T58" s="47"/>
    </row>
    <row r="59" spans="1:20" ht="35.049999999999997" customHeight="1" x14ac:dyDescent="0.3">
      <c r="A59" s="398" t="s">
        <v>822</v>
      </c>
      <c r="B59" s="17"/>
      <c r="C59" s="405" t="s">
        <v>640</v>
      </c>
      <c r="D59" s="501">
        <v>2.524</v>
      </c>
      <c r="E59" s="502">
        <v>0.32700000000000001</v>
      </c>
      <c r="F59" s="503">
        <v>1.6E-2</v>
      </c>
      <c r="G59" s="508">
        <v>2.83</v>
      </c>
      <c r="H59" s="509">
        <v>0</v>
      </c>
      <c r="I59" s="399">
        <v>0</v>
      </c>
      <c r="J59" s="500">
        <v>0</v>
      </c>
      <c r="K59" s="46"/>
      <c r="L59" s="46"/>
      <c r="M59" s="47"/>
      <c r="N59" s="47"/>
      <c r="O59" s="47"/>
      <c r="P59" s="47"/>
      <c r="Q59" s="47"/>
      <c r="R59" s="47"/>
      <c r="S59" s="47"/>
      <c r="T59" s="47"/>
    </row>
    <row r="60" spans="1:20" ht="35.049999999999997" customHeight="1" x14ac:dyDescent="0.3">
      <c r="A60" s="398" t="s">
        <v>823</v>
      </c>
      <c r="B60" s="17"/>
      <c r="C60" s="405" t="s">
        <v>640</v>
      </c>
      <c r="D60" s="501">
        <v>2.524</v>
      </c>
      <c r="E60" s="502">
        <v>0.32700000000000001</v>
      </c>
      <c r="F60" s="503">
        <v>1.6E-2</v>
      </c>
      <c r="G60" s="508">
        <v>3.9</v>
      </c>
      <c r="H60" s="509">
        <v>0</v>
      </c>
      <c r="I60" s="399">
        <v>0</v>
      </c>
      <c r="J60" s="500">
        <v>0</v>
      </c>
      <c r="K60" s="46"/>
      <c r="L60" s="46"/>
      <c r="M60" s="47"/>
      <c r="N60" s="47"/>
      <c r="O60" s="47"/>
      <c r="P60" s="47"/>
      <c r="Q60" s="47"/>
      <c r="R60" s="47"/>
      <c r="S60" s="47"/>
      <c r="T60" s="47"/>
    </row>
    <row r="61" spans="1:20" ht="35.049999999999997" customHeight="1" x14ac:dyDescent="0.3">
      <c r="A61" s="398" t="s">
        <v>824</v>
      </c>
      <c r="B61" s="17"/>
      <c r="C61" s="405" t="s">
        <v>640</v>
      </c>
      <c r="D61" s="501">
        <v>2.524</v>
      </c>
      <c r="E61" s="502">
        <v>0.32700000000000001</v>
      </c>
      <c r="F61" s="503">
        <v>1.6E-2</v>
      </c>
      <c r="G61" s="508">
        <v>6.35</v>
      </c>
      <c r="H61" s="509">
        <v>0</v>
      </c>
      <c r="I61" s="399">
        <v>0</v>
      </c>
      <c r="J61" s="500">
        <v>0</v>
      </c>
      <c r="K61" s="46"/>
      <c r="L61" s="46"/>
      <c r="M61" s="47"/>
      <c r="N61" s="47"/>
      <c r="O61" s="47"/>
      <c r="P61" s="47"/>
      <c r="Q61" s="47"/>
      <c r="R61" s="47"/>
      <c r="S61" s="47"/>
      <c r="T61" s="47"/>
    </row>
    <row r="62" spans="1:20" ht="35.049999999999997" customHeight="1" x14ac:dyDescent="0.3">
      <c r="A62" s="398" t="s">
        <v>825</v>
      </c>
      <c r="B62" s="17"/>
      <c r="C62" s="405" t="s">
        <v>640</v>
      </c>
      <c r="D62" s="501">
        <v>2.524</v>
      </c>
      <c r="E62" s="502">
        <v>0.32700000000000001</v>
      </c>
      <c r="F62" s="503">
        <v>1.6E-2</v>
      </c>
      <c r="G62" s="508">
        <v>10.82</v>
      </c>
      <c r="H62" s="509">
        <v>0</v>
      </c>
      <c r="I62" s="399">
        <v>0</v>
      </c>
      <c r="J62" s="500">
        <v>0</v>
      </c>
      <c r="K62" s="46"/>
      <c r="L62" s="46"/>
      <c r="M62" s="47"/>
      <c r="N62" s="47"/>
      <c r="O62" s="47"/>
      <c r="P62" s="47"/>
      <c r="Q62" s="47"/>
      <c r="R62" s="47"/>
      <c r="S62" s="47"/>
      <c r="T62" s="47"/>
    </row>
    <row r="63" spans="1:20" ht="35.049999999999997" customHeight="1" x14ac:dyDescent="0.3">
      <c r="A63" s="398" t="s">
        <v>826</v>
      </c>
      <c r="B63" s="17"/>
      <c r="C63" s="405" t="s">
        <v>640</v>
      </c>
      <c r="D63" s="501">
        <v>2.524</v>
      </c>
      <c r="E63" s="502">
        <v>0.32700000000000001</v>
      </c>
      <c r="F63" s="503">
        <v>1.6E-2</v>
      </c>
      <c r="G63" s="508">
        <v>24.57</v>
      </c>
      <c r="H63" s="509">
        <v>0</v>
      </c>
      <c r="I63" s="399">
        <v>0</v>
      </c>
      <c r="J63" s="500">
        <v>0</v>
      </c>
      <c r="K63" s="46"/>
      <c r="L63" s="46"/>
      <c r="M63" s="47"/>
      <c r="N63" s="47"/>
      <c r="O63" s="47"/>
      <c r="P63" s="47"/>
      <c r="Q63" s="47"/>
      <c r="R63" s="47"/>
      <c r="S63" s="47"/>
      <c r="T63" s="47"/>
    </row>
    <row r="64" spans="1:20" ht="35.049999999999997" customHeight="1" x14ac:dyDescent="0.3">
      <c r="A64" s="398" t="s">
        <v>586</v>
      </c>
      <c r="B64" s="17"/>
      <c r="C64" s="405">
        <v>4</v>
      </c>
      <c r="D64" s="501">
        <v>2.524</v>
      </c>
      <c r="E64" s="502">
        <v>0.32700000000000001</v>
      </c>
      <c r="F64" s="503">
        <v>1.6E-2</v>
      </c>
      <c r="G64" s="509">
        <v>0</v>
      </c>
      <c r="H64" s="509">
        <v>0</v>
      </c>
      <c r="I64" s="399">
        <v>0</v>
      </c>
      <c r="J64" s="500">
        <v>0</v>
      </c>
      <c r="K64" s="46"/>
      <c r="L64" s="46"/>
      <c r="M64" s="47"/>
      <c r="N64" s="47"/>
      <c r="O64" s="47"/>
      <c r="P64" s="47"/>
      <c r="Q64" s="47"/>
      <c r="R64" s="47"/>
      <c r="S64" s="47"/>
      <c r="T64" s="47"/>
    </row>
    <row r="65" spans="1:20" ht="35.049999999999997" customHeight="1" x14ac:dyDescent="0.3">
      <c r="A65" s="398" t="s">
        <v>827</v>
      </c>
      <c r="B65" s="17"/>
      <c r="C65" s="405">
        <v>0</v>
      </c>
      <c r="D65" s="501">
        <v>1.972</v>
      </c>
      <c r="E65" s="502">
        <v>0.22</v>
      </c>
      <c r="F65" s="503">
        <v>0.01</v>
      </c>
      <c r="G65" s="508">
        <v>5.86</v>
      </c>
      <c r="H65" s="508">
        <v>1.22</v>
      </c>
      <c r="I65" s="400">
        <v>2.2799999999999998</v>
      </c>
      <c r="J65" s="499">
        <v>7.2999999999999995E-2</v>
      </c>
      <c r="K65" s="46"/>
      <c r="L65" s="46"/>
      <c r="M65" s="47"/>
      <c r="N65" s="47"/>
      <c r="O65" s="47"/>
      <c r="P65" s="47"/>
      <c r="Q65" s="47"/>
      <c r="R65" s="47"/>
      <c r="S65" s="47"/>
      <c r="T65" s="47"/>
    </row>
    <row r="66" spans="1:20" ht="35.049999999999997" customHeight="1" x14ac:dyDescent="0.3">
      <c r="A66" s="398" t="s">
        <v>828</v>
      </c>
      <c r="B66" s="17"/>
      <c r="C66" s="405">
        <v>0</v>
      </c>
      <c r="D66" s="501">
        <v>1.972</v>
      </c>
      <c r="E66" s="502">
        <v>0.22</v>
      </c>
      <c r="F66" s="503">
        <v>0.01</v>
      </c>
      <c r="G66" s="508">
        <v>45.75</v>
      </c>
      <c r="H66" s="508">
        <v>1.22</v>
      </c>
      <c r="I66" s="400">
        <v>2.2799999999999998</v>
      </c>
      <c r="J66" s="499">
        <v>7.2999999999999995E-2</v>
      </c>
      <c r="K66" s="46"/>
      <c r="L66" s="46"/>
      <c r="M66" s="47"/>
      <c r="N66" s="47"/>
      <c r="O66" s="47"/>
      <c r="P66" s="47"/>
      <c r="Q66" s="47"/>
      <c r="R66" s="47"/>
      <c r="S66" s="47"/>
      <c r="T66" s="47"/>
    </row>
    <row r="67" spans="1:20" ht="35.049999999999997" customHeight="1" x14ac:dyDescent="0.3">
      <c r="A67" s="398" t="s">
        <v>829</v>
      </c>
      <c r="B67" s="17"/>
      <c r="C67" s="405">
        <v>0</v>
      </c>
      <c r="D67" s="501">
        <v>1.972</v>
      </c>
      <c r="E67" s="502">
        <v>0.22</v>
      </c>
      <c r="F67" s="503">
        <v>0.01</v>
      </c>
      <c r="G67" s="508">
        <v>80</v>
      </c>
      <c r="H67" s="508">
        <v>1.22</v>
      </c>
      <c r="I67" s="400">
        <v>2.2799999999999998</v>
      </c>
      <c r="J67" s="499">
        <v>7.2999999999999995E-2</v>
      </c>
      <c r="K67" s="46"/>
      <c r="L67" s="46"/>
      <c r="M67" s="47"/>
      <c r="N67" s="47"/>
      <c r="O67" s="47"/>
      <c r="P67" s="47"/>
      <c r="Q67" s="47"/>
      <c r="R67" s="47"/>
      <c r="S67" s="47"/>
      <c r="T67" s="47"/>
    </row>
    <row r="68" spans="1:20" ht="35.049999999999997" customHeight="1" x14ac:dyDescent="0.3">
      <c r="A68" s="398" t="s">
        <v>830</v>
      </c>
      <c r="B68" s="17"/>
      <c r="C68" s="405">
        <v>0</v>
      </c>
      <c r="D68" s="501">
        <v>1.972</v>
      </c>
      <c r="E68" s="502">
        <v>0.22</v>
      </c>
      <c r="F68" s="503">
        <v>0.01</v>
      </c>
      <c r="G68" s="508">
        <v>120.6</v>
      </c>
      <c r="H68" s="508">
        <v>1.22</v>
      </c>
      <c r="I68" s="400">
        <v>2.2799999999999998</v>
      </c>
      <c r="J68" s="499">
        <v>7.2999999999999995E-2</v>
      </c>
      <c r="K68" s="46"/>
      <c r="L68" s="46"/>
      <c r="M68" s="47"/>
      <c r="N68" s="47"/>
      <c r="O68" s="47"/>
      <c r="P68" s="47"/>
      <c r="Q68" s="47"/>
      <c r="R68" s="47"/>
      <c r="S68" s="47"/>
      <c r="T68" s="47"/>
    </row>
    <row r="69" spans="1:20" ht="35.049999999999997" customHeight="1" x14ac:dyDescent="0.3">
      <c r="A69" s="398" t="s">
        <v>831</v>
      </c>
      <c r="B69" s="17"/>
      <c r="C69" s="405">
        <v>0</v>
      </c>
      <c r="D69" s="501">
        <v>1.972</v>
      </c>
      <c r="E69" s="502">
        <v>0.22</v>
      </c>
      <c r="F69" s="503">
        <v>0.01</v>
      </c>
      <c r="G69" s="508">
        <v>299.27</v>
      </c>
      <c r="H69" s="508">
        <v>1.22</v>
      </c>
      <c r="I69" s="400">
        <v>2.2799999999999998</v>
      </c>
      <c r="J69" s="499">
        <v>7.2999999999999995E-2</v>
      </c>
      <c r="K69" s="46"/>
      <c r="L69" s="46"/>
      <c r="M69" s="47"/>
      <c r="N69" s="47"/>
      <c r="O69" s="47"/>
      <c r="P69" s="47"/>
      <c r="Q69" s="47"/>
      <c r="R69" s="47"/>
      <c r="S69" s="47"/>
      <c r="T69" s="47"/>
    </row>
    <row r="70" spans="1:20" ht="35.049999999999997" customHeight="1" x14ac:dyDescent="0.3">
      <c r="A70" s="398" t="s">
        <v>832</v>
      </c>
      <c r="B70" s="17"/>
      <c r="C70" s="405">
        <v>0</v>
      </c>
      <c r="D70" s="501">
        <v>2.0339999999999998</v>
      </c>
      <c r="E70" s="502">
        <v>0.156</v>
      </c>
      <c r="F70" s="503">
        <v>6.0000000000000001E-3</v>
      </c>
      <c r="G70" s="508">
        <v>21.06</v>
      </c>
      <c r="H70" s="508">
        <v>2.56</v>
      </c>
      <c r="I70" s="400">
        <v>3.35</v>
      </c>
      <c r="J70" s="499">
        <v>6.4000000000000001E-2</v>
      </c>
      <c r="K70" s="46"/>
      <c r="L70" s="46"/>
      <c r="M70" s="47"/>
      <c r="N70" s="47"/>
      <c r="O70" s="47"/>
      <c r="P70" s="47"/>
      <c r="Q70" s="47"/>
      <c r="R70" s="47"/>
      <c r="S70" s="47"/>
      <c r="T70" s="47"/>
    </row>
    <row r="71" spans="1:20" ht="35.049999999999997" customHeight="1" x14ac:dyDescent="0.3">
      <c r="A71" s="398" t="s">
        <v>833</v>
      </c>
      <c r="B71" s="17"/>
      <c r="C71" s="405">
        <v>0</v>
      </c>
      <c r="D71" s="501">
        <v>2.0339999999999998</v>
      </c>
      <c r="E71" s="502">
        <v>0.156</v>
      </c>
      <c r="F71" s="503">
        <v>6.0000000000000001E-3</v>
      </c>
      <c r="G71" s="508">
        <v>83.48</v>
      </c>
      <c r="H71" s="508">
        <v>2.56</v>
      </c>
      <c r="I71" s="400">
        <v>3.35</v>
      </c>
      <c r="J71" s="499">
        <v>6.4000000000000001E-2</v>
      </c>
      <c r="K71" s="46"/>
      <c r="L71" s="46"/>
      <c r="M71" s="47"/>
      <c r="N71" s="47"/>
      <c r="O71" s="47"/>
      <c r="P71" s="47"/>
      <c r="Q71" s="47"/>
      <c r="R71" s="47"/>
      <c r="S71" s="47"/>
      <c r="T71" s="47"/>
    </row>
    <row r="72" spans="1:20" ht="35.049999999999997" customHeight="1" x14ac:dyDescent="0.3">
      <c r="A72" s="398" t="s">
        <v>834</v>
      </c>
      <c r="B72" s="17"/>
      <c r="C72" s="405">
        <v>0</v>
      </c>
      <c r="D72" s="501">
        <v>2.0339999999999998</v>
      </c>
      <c r="E72" s="502">
        <v>0.156</v>
      </c>
      <c r="F72" s="503">
        <v>6.0000000000000001E-3</v>
      </c>
      <c r="G72" s="508">
        <v>137.09</v>
      </c>
      <c r="H72" s="508">
        <v>2.56</v>
      </c>
      <c r="I72" s="400">
        <v>3.35</v>
      </c>
      <c r="J72" s="499">
        <v>6.4000000000000001E-2</v>
      </c>
      <c r="K72" s="46"/>
      <c r="L72" s="46"/>
      <c r="M72" s="47"/>
      <c r="N72" s="47"/>
      <c r="O72" s="47"/>
      <c r="P72" s="47"/>
      <c r="Q72" s="47"/>
      <c r="R72" s="47"/>
      <c r="S72" s="47"/>
      <c r="T72" s="47"/>
    </row>
    <row r="73" spans="1:20" ht="35.049999999999997" customHeight="1" x14ac:dyDescent="0.3">
      <c r="A73" s="398" t="s">
        <v>835</v>
      </c>
      <c r="B73" s="17"/>
      <c r="C73" s="405">
        <v>0</v>
      </c>
      <c r="D73" s="501">
        <v>2.0339999999999998</v>
      </c>
      <c r="E73" s="502">
        <v>0.156</v>
      </c>
      <c r="F73" s="503">
        <v>6.0000000000000001E-3</v>
      </c>
      <c r="G73" s="508">
        <v>200.62</v>
      </c>
      <c r="H73" s="508">
        <v>2.56</v>
      </c>
      <c r="I73" s="400">
        <v>3.35</v>
      </c>
      <c r="J73" s="499">
        <v>6.4000000000000001E-2</v>
      </c>
      <c r="K73" s="46"/>
      <c r="L73" s="46"/>
      <c r="M73" s="47"/>
      <c r="N73" s="47"/>
      <c r="O73" s="47"/>
      <c r="P73" s="47"/>
      <c r="Q73" s="47"/>
      <c r="R73" s="47"/>
      <c r="S73" s="47"/>
      <c r="T73" s="47"/>
    </row>
    <row r="74" spans="1:20" ht="35.049999999999997" customHeight="1" x14ac:dyDescent="0.3">
      <c r="A74" s="398" t="s">
        <v>836</v>
      </c>
      <c r="B74" s="17"/>
      <c r="C74" s="405">
        <v>0</v>
      </c>
      <c r="D74" s="501">
        <v>2.0339999999999998</v>
      </c>
      <c r="E74" s="502">
        <v>0.156</v>
      </c>
      <c r="F74" s="503">
        <v>6.0000000000000001E-3</v>
      </c>
      <c r="G74" s="508">
        <v>480.23</v>
      </c>
      <c r="H74" s="508">
        <v>2.56</v>
      </c>
      <c r="I74" s="400">
        <v>3.35</v>
      </c>
      <c r="J74" s="499">
        <v>6.4000000000000001E-2</v>
      </c>
      <c r="K74" s="46"/>
      <c r="L74" s="46"/>
      <c r="M74" s="47"/>
      <c r="N74" s="47"/>
      <c r="O74" s="47"/>
      <c r="P74" s="47"/>
      <c r="Q74" s="47"/>
      <c r="R74" s="47"/>
      <c r="S74" s="47"/>
      <c r="T74" s="47"/>
    </row>
    <row r="75" spans="1:20" ht="35.049999999999997" customHeight="1" x14ac:dyDescent="0.3">
      <c r="A75" s="398" t="s">
        <v>837</v>
      </c>
      <c r="B75" s="17"/>
      <c r="C75" s="405">
        <v>0</v>
      </c>
      <c r="D75" s="501">
        <v>1.883</v>
      </c>
      <c r="E75" s="502">
        <v>0.128</v>
      </c>
      <c r="F75" s="503">
        <v>5.0000000000000001E-3</v>
      </c>
      <c r="G75" s="508">
        <v>103.24</v>
      </c>
      <c r="H75" s="508">
        <v>3.48</v>
      </c>
      <c r="I75" s="400">
        <v>4.2</v>
      </c>
      <c r="J75" s="499">
        <v>5.5E-2</v>
      </c>
      <c r="K75" s="46"/>
      <c r="L75" s="46"/>
      <c r="M75" s="47"/>
      <c r="N75" s="47"/>
      <c r="O75" s="47"/>
      <c r="P75" s="47"/>
      <c r="Q75" s="47"/>
      <c r="R75" s="47"/>
      <c r="S75" s="47"/>
      <c r="T75" s="47"/>
    </row>
    <row r="76" spans="1:20" ht="35.049999999999997" customHeight="1" x14ac:dyDescent="0.3">
      <c r="A76" s="398" t="s">
        <v>838</v>
      </c>
      <c r="B76" s="17"/>
      <c r="C76" s="405">
        <v>0</v>
      </c>
      <c r="D76" s="501">
        <v>1.883</v>
      </c>
      <c r="E76" s="502">
        <v>0.128</v>
      </c>
      <c r="F76" s="503">
        <v>5.0000000000000001E-3</v>
      </c>
      <c r="G76" s="508">
        <v>537.79999999999995</v>
      </c>
      <c r="H76" s="508">
        <v>3.48</v>
      </c>
      <c r="I76" s="400">
        <v>4.2</v>
      </c>
      <c r="J76" s="499">
        <v>5.5E-2</v>
      </c>
      <c r="K76" s="46"/>
      <c r="L76" s="46"/>
      <c r="M76" s="47"/>
      <c r="N76" s="47"/>
      <c r="O76" s="47"/>
      <c r="P76" s="47"/>
      <c r="Q76" s="47"/>
      <c r="R76" s="47"/>
      <c r="S76" s="47"/>
      <c r="T76" s="47"/>
    </row>
    <row r="77" spans="1:20" ht="35.049999999999997" customHeight="1" x14ac:dyDescent="0.3">
      <c r="A77" s="398" t="s">
        <v>839</v>
      </c>
      <c r="B77" s="17"/>
      <c r="C77" s="405">
        <v>0</v>
      </c>
      <c r="D77" s="501">
        <v>1.883</v>
      </c>
      <c r="E77" s="502">
        <v>0.128</v>
      </c>
      <c r="F77" s="503">
        <v>5.0000000000000001E-3</v>
      </c>
      <c r="G77" s="508">
        <v>1371.13</v>
      </c>
      <c r="H77" s="508">
        <v>3.48</v>
      </c>
      <c r="I77" s="400">
        <v>4.2</v>
      </c>
      <c r="J77" s="499">
        <v>5.5E-2</v>
      </c>
      <c r="K77" s="46"/>
      <c r="L77" s="46"/>
      <c r="M77" s="47"/>
      <c r="N77" s="47"/>
      <c r="O77" s="47"/>
      <c r="P77" s="47"/>
      <c r="Q77" s="47"/>
      <c r="R77" s="47"/>
      <c r="S77" s="47"/>
      <c r="T77" s="47"/>
    </row>
    <row r="78" spans="1:20" ht="35.049999999999997" customHeight="1" x14ac:dyDescent="0.3">
      <c r="A78" s="398" t="s">
        <v>840</v>
      </c>
      <c r="B78" s="17"/>
      <c r="C78" s="405">
        <v>0</v>
      </c>
      <c r="D78" s="501">
        <v>1.883</v>
      </c>
      <c r="E78" s="502">
        <v>0.128</v>
      </c>
      <c r="F78" s="503">
        <v>5.0000000000000001E-3</v>
      </c>
      <c r="G78" s="508">
        <v>2430.42</v>
      </c>
      <c r="H78" s="508">
        <v>3.48</v>
      </c>
      <c r="I78" s="400">
        <v>4.2</v>
      </c>
      <c r="J78" s="499">
        <v>5.5E-2</v>
      </c>
      <c r="K78" s="46"/>
      <c r="L78" s="46"/>
      <c r="M78" s="47"/>
      <c r="N78" s="47"/>
      <c r="O78" s="47"/>
      <c r="P78" s="47"/>
      <c r="Q78" s="47"/>
      <c r="R78" s="47"/>
      <c r="S78" s="47"/>
      <c r="T78" s="47"/>
    </row>
    <row r="79" spans="1:20" ht="35.049999999999997" customHeight="1" x14ac:dyDescent="0.3">
      <c r="A79" s="398" t="s">
        <v>841</v>
      </c>
      <c r="B79" s="17"/>
      <c r="C79" s="405">
        <v>0</v>
      </c>
      <c r="D79" s="501">
        <v>1.883</v>
      </c>
      <c r="E79" s="502">
        <v>0.128</v>
      </c>
      <c r="F79" s="503">
        <v>5.0000000000000001E-3</v>
      </c>
      <c r="G79" s="508">
        <v>6217.03</v>
      </c>
      <c r="H79" s="508">
        <v>3.48</v>
      </c>
      <c r="I79" s="400">
        <v>4.2</v>
      </c>
      <c r="J79" s="499">
        <v>5.5E-2</v>
      </c>
      <c r="K79" s="46"/>
      <c r="L79" s="46"/>
      <c r="M79" s="47"/>
      <c r="N79" s="47"/>
      <c r="O79" s="47"/>
      <c r="P79" s="47"/>
      <c r="Q79" s="47"/>
      <c r="R79" s="47"/>
      <c r="S79" s="47"/>
      <c r="T79" s="47"/>
    </row>
    <row r="80" spans="1:20" ht="35.049999999999997" customHeight="1" x14ac:dyDescent="0.3">
      <c r="A80" s="398" t="s">
        <v>587</v>
      </c>
      <c r="B80" s="17"/>
      <c r="C80" s="405" t="s">
        <v>616</v>
      </c>
      <c r="D80" s="504">
        <v>6.5389999999999997</v>
      </c>
      <c r="E80" s="505">
        <v>1.1919999999999999</v>
      </c>
      <c r="F80" s="503">
        <v>0.91200000000000003</v>
      </c>
      <c r="G80" s="509">
        <v>0</v>
      </c>
      <c r="H80" s="509">
        <v>0</v>
      </c>
      <c r="I80" s="399">
        <v>0</v>
      </c>
      <c r="J80" s="500">
        <v>0</v>
      </c>
      <c r="K80" s="46"/>
      <c r="L80" s="46"/>
      <c r="M80" s="47"/>
      <c r="N80" s="47"/>
      <c r="O80" s="47"/>
      <c r="P80" s="47"/>
      <c r="Q80" s="47"/>
      <c r="R80" s="47"/>
      <c r="S80" s="47"/>
      <c r="T80" s="47"/>
    </row>
    <row r="81" spans="1:20" ht="35.049999999999997" customHeight="1" x14ac:dyDescent="0.3">
      <c r="A81" s="398" t="s">
        <v>691</v>
      </c>
      <c r="B81" s="17"/>
      <c r="C81" s="405" t="s">
        <v>621</v>
      </c>
      <c r="D81" s="501">
        <v>-3.0409999999999999</v>
      </c>
      <c r="E81" s="502">
        <v>-0.39500000000000002</v>
      </c>
      <c r="F81" s="503">
        <v>-1.9E-2</v>
      </c>
      <c r="G81" s="508">
        <v>0</v>
      </c>
      <c r="H81" s="509">
        <v>0</v>
      </c>
      <c r="I81" s="399">
        <v>0</v>
      </c>
      <c r="J81" s="500">
        <v>0</v>
      </c>
      <c r="K81" s="46"/>
      <c r="L81" s="46"/>
      <c r="M81" s="47"/>
      <c r="N81" s="47"/>
      <c r="O81" s="47"/>
      <c r="P81" s="47"/>
      <c r="Q81" s="47"/>
      <c r="R81" s="47"/>
      <c r="S81" s="47"/>
      <c r="T81" s="47"/>
    </row>
    <row r="82" spans="1:20" ht="35.049999999999997" customHeight="1" x14ac:dyDescent="0.3">
      <c r="A82" s="398" t="s">
        <v>692</v>
      </c>
      <c r="B82" s="17"/>
      <c r="C82" s="405" t="s">
        <v>621</v>
      </c>
      <c r="D82" s="501">
        <v>-3.085</v>
      </c>
      <c r="E82" s="502">
        <v>-0.36599999999999999</v>
      </c>
      <c r="F82" s="503">
        <v>-1.7000000000000001E-2</v>
      </c>
      <c r="G82" s="508">
        <v>0</v>
      </c>
      <c r="H82" s="509">
        <v>0</v>
      </c>
      <c r="I82" s="399">
        <v>0</v>
      </c>
      <c r="J82" s="500">
        <v>0</v>
      </c>
      <c r="K82" s="46"/>
      <c r="L82" s="46"/>
      <c r="M82" s="47"/>
      <c r="N82" s="47"/>
      <c r="O82" s="47"/>
      <c r="P82" s="47"/>
      <c r="Q82" s="47"/>
      <c r="R82" s="47"/>
      <c r="S82" s="47"/>
      <c r="T82" s="47"/>
    </row>
    <row r="83" spans="1:20" ht="35.049999999999997" customHeight="1" x14ac:dyDescent="0.3">
      <c r="A83" s="398" t="s">
        <v>693</v>
      </c>
      <c r="B83" s="17"/>
      <c r="C83" s="405">
        <v>0</v>
      </c>
      <c r="D83" s="501">
        <v>-3.0409999999999999</v>
      </c>
      <c r="E83" s="502">
        <v>-0.39500000000000002</v>
      </c>
      <c r="F83" s="503">
        <v>-1.9E-2</v>
      </c>
      <c r="G83" s="508">
        <v>0</v>
      </c>
      <c r="H83" s="509">
        <v>0</v>
      </c>
      <c r="I83" s="399">
        <v>0</v>
      </c>
      <c r="J83" s="499">
        <v>0.11899999999999999</v>
      </c>
      <c r="K83" s="46"/>
      <c r="L83" s="46"/>
      <c r="M83" s="47"/>
      <c r="N83" s="47"/>
      <c r="O83" s="47"/>
      <c r="P83" s="47"/>
      <c r="Q83" s="47"/>
      <c r="R83" s="47"/>
      <c r="S83" s="47"/>
      <c r="T83" s="47"/>
    </row>
    <row r="84" spans="1:20" ht="35.049999999999997" customHeight="1" x14ac:dyDescent="0.3">
      <c r="A84" s="398" t="s">
        <v>694</v>
      </c>
      <c r="B84" s="17"/>
      <c r="C84" s="405">
        <v>0</v>
      </c>
      <c r="D84" s="501">
        <v>-3.085</v>
      </c>
      <c r="E84" s="502">
        <v>-0.36599999999999999</v>
      </c>
      <c r="F84" s="503">
        <v>-1.7000000000000001E-2</v>
      </c>
      <c r="G84" s="508">
        <v>0</v>
      </c>
      <c r="H84" s="509">
        <v>0</v>
      </c>
      <c r="I84" s="399">
        <v>0</v>
      </c>
      <c r="J84" s="499">
        <v>0.113</v>
      </c>
      <c r="K84" s="46"/>
      <c r="L84" s="46"/>
      <c r="M84" s="47"/>
      <c r="N84" s="47"/>
      <c r="O84" s="47"/>
      <c r="P84" s="47"/>
      <c r="Q84" s="47"/>
      <c r="R84" s="47"/>
      <c r="S84" s="47"/>
      <c r="T84" s="47"/>
    </row>
    <row r="85" spans="1:20" ht="35.049999999999997" customHeight="1" x14ac:dyDescent="0.3">
      <c r="A85" s="398" t="s">
        <v>695</v>
      </c>
      <c r="B85" s="17"/>
      <c r="C85" s="405">
        <v>0</v>
      </c>
      <c r="D85" s="501">
        <v>-4.0259999999999998</v>
      </c>
      <c r="E85" s="502">
        <v>-0.307</v>
      </c>
      <c r="F85" s="503">
        <v>-1.2999999999999999E-2</v>
      </c>
      <c r="G85" s="508">
        <v>348.55</v>
      </c>
      <c r="H85" s="509">
        <v>0</v>
      </c>
      <c r="I85" s="399">
        <v>0</v>
      </c>
      <c r="J85" s="499">
        <v>0.16600000000000001</v>
      </c>
      <c r="K85" s="46"/>
      <c r="L85" s="46"/>
      <c r="M85" s="47"/>
      <c r="N85" s="47"/>
      <c r="O85" s="47"/>
      <c r="P85" s="47"/>
      <c r="Q85" s="47"/>
      <c r="R85" s="47"/>
      <c r="S85" s="47"/>
      <c r="T85" s="47"/>
    </row>
    <row r="86" spans="1:20" ht="35.049999999999997" customHeight="1" x14ac:dyDescent="0.3">
      <c r="A86" s="398" t="s">
        <v>842</v>
      </c>
      <c r="B86" s="17"/>
      <c r="C86" s="405" t="s">
        <v>639</v>
      </c>
      <c r="D86" s="501">
        <v>2.2189999999999999</v>
      </c>
      <c r="E86" s="502">
        <v>0.28799999999999998</v>
      </c>
      <c r="F86" s="503">
        <v>1.4E-2</v>
      </c>
      <c r="G86" s="508">
        <v>2.95</v>
      </c>
      <c r="H86" s="509">
        <v>0</v>
      </c>
      <c r="I86" s="399">
        <v>0</v>
      </c>
      <c r="J86" s="500">
        <v>0</v>
      </c>
      <c r="K86" s="46"/>
      <c r="L86" s="46"/>
      <c r="M86" s="47"/>
      <c r="N86" s="47"/>
      <c r="O86" s="47"/>
      <c r="P86" s="47"/>
      <c r="Q86" s="47"/>
      <c r="R86" s="47"/>
      <c r="S86" s="47"/>
      <c r="T86" s="47"/>
    </row>
    <row r="87" spans="1:20" ht="35.049999999999997" customHeight="1" x14ac:dyDescent="0.3">
      <c r="A87" s="398" t="s">
        <v>843</v>
      </c>
      <c r="B87" s="17"/>
      <c r="C87" s="405">
        <v>2</v>
      </c>
      <c r="D87" s="501">
        <v>2.2189999999999999</v>
      </c>
      <c r="E87" s="502">
        <v>0.28799999999999998</v>
      </c>
      <c r="F87" s="503">
        <v>1.4E-2</v>
      </c>
      <c r="G87" s="509">
        <v>0</v>
      </c>
      <c r="H87" s="509">
        <v>0</v>
      </c>
      <c r="I87" s="399">
        <v>0</v>
      </c>
      <c r="J87" s="500">
        <v>0</v>
      </c>
      <c r="K87" s="46"/>
      <c r="L87" s="46"/>
      <c r="M87" s="47"/>
      <c r="N87" s="47"/>
      <c r="O87" s="47"/>
      <c r="P87" s="47"/>
      <c r="Q87" s="47"/>
      <c r="R87" s="47"/>
      <c r="S87" s="47"/>
      <c r="T87" s="47"/>
    </row>
    <row r="88" spans="1:20" ht="35.049999999999997" customHeight="1" x14ac:dyDescent="0.3">
      <c r="A88" s="398" t="s">
        <v>844</v>
      </c>
      <c r="B88" s="17"/>
      <c r="C88" s="405" t="s">
        <v>640</v>
      </c>
      <c r="D88" s="501">
        <v>1.956</v>
      </c>
      <c r="E88" s="502">
        <v>0.254</v>
      </c>
      <c r="F88" s="503">
        <v>1.2E-2</v>
      </c>
      <c r="G88" s="508">
        <v>2.23</v>
      </c>
      <c r="H88" s="509">
        <v>0</v>
      </c>
      <c r="I88" s="399">
        <v>0</v>
      </c>
      <c r="J88" s="500">
        <v>0</v>
      </c>
      <c r="K88" s="46"/>
      <c r="L88" s="46"/>
      <c r="M88" s="47"/>
      <c r="N88" s="47"/>
      <c r="O88" s="47"/>
      <c r="P88" s="47"/>
      <c r="Q88" s="47"/>
      <c r="R88" s="47"/>
      <c r="S88" s="47"/>
      <c r="T88" s="47"/>
    </row>
    <row r="89" spans="1:20" ht="35.049999999999997" customHeight="1" x14ac:dyDescent="0.3">
      <c r="A89" s="398" t="s">
        <v>845</v>
      </c>
      <c r="B89" s="17"/>
      <c r="C89" s="405" t="s">
        <v>640</v>
      </c>
      <c r="D89" s="501">
        <v>1.956</v>
      </c>
      <c r="E89" s="502">
        <v>0.254</v>
      </c>
      <c r="F89" s="503">
        <v>1.2E-2</v>
      </c>
      <c r="G89" s="508">
        <v>3.06</v>
      </c>
      <c r="H89" s="509">
        <v>0</v>
      </c>
      <c r="I89" s="399">
        <v>0</v>
      </c>
      <c r="J89" s="500">
        <v>0</v>
      </c>
      <c r="K89" s="46"/>
      <c r="L89" s="46"/>
      <c r="M89" s="47"/>
      <c r="N89" s="47"/>
      <c r="O89" s="47"/>
      <c r="P89" s="47"/>
      <c r="Q89" s="47"/>
      <c r="R89" s="47"/>
      <c r="S89" s="47"/>
      <c r="T89" s="47"/>
    </row>
    <row r="90" spans="1:20" ht="35.049999999999997" customHeight="1" x14ac:dyDescent="0.3">
      <c r="A90" s="398" t="s">
        <v>846</v>
      </c>
      <c r="B90" s="17"/>
      <c r="C90" s="405" t="s">
        <v>640</v>
      </c>
      <c r="D90" s="501">
        <v>1.956</v>
      </c>
      <c r="E90" s="502">
        <v>0.254</v>
      </c>
      <c r="F90" s="503">
        <v>1.2E-2</v>
      </c>
      <c r="G90" s="508">
        <v>4.96</v>
      </c>
      <c r="H90" s="509">
        <v>0</v>
      </c>
      <c r="I90" s="399">
        <v>0</v>
      </c>
      <c r="J90" s="500">
        <v>0</v>
      </c>
      <c r="K90" s="46"/>
      <c r="L90" s="46"/>
      <c r="M90" s="47"/>
      <c r="N90" s="47"/>
      <c r="O90" s="47"/>
      <c r="P90" s="47"/>
      <c r="Q90" s="47"/>
      <c r="R90" s="47"/>
      <c r="S90" s="47"/>
      <c r="T90" s="47"/>
    </row>
    <row r="91" spans="1:20" ht="35.049999999999997" customHeight="1" x14ac:dyDescent="0.3">
      <c r="A91" s="398" t="s">
        <v>847</v>
      </c>
      <c r="B91" s="17"/>
      <c r="C91" s="405" t="s">
        <v>640</v>
      </c>
      <c r="D91" s="501">
        <v>1.956</v>
      </c>
      <c r="E91" s="502">
        <v>0.254</v>
      </c>
      <c r="F91" s="503">
        <v>1.2E-2</v>
      </c>
      <c r="G91" s="508">
        <v>8.42</v>
      </c>
      <c r="H91" s="509">
        <v>0</v>
      </c>
      <c r="I91" s="399">
        <v>0</v>
      </c>
      <c r="J91" s="500">
        <v>0</v>
      </c>
      <c r="K91" s="46"/>
      <c r="L91" s="46"/>
      <c r="M91" s="47"/>
      <c r="N91" s="47"/>
      <c r="O91" s="47"/>
      <c r="P91" s="47"/>
      <c r="Q91" s="47"/>
      <c r="R91" s="47"/>
      <c r="S91" s="47"/>
      <c r="T91" s="47"/>
    </row>
    <row r="92" spans="1:20" ht="35.049999999999997" customHeight="1" x14ac:dyDescent="0.3">
      <c r="A92" s="398" t="s">
        <v>848</v>
      </c>
      <c r="B92" s="17"/>
      <c r="C92" s="405" t="s">
        <v>640</v>
      </c>
      <c r="D92" s="501">
        <v>1.956</v>
      </c>
      <c r="E92" s="502">
        <v>0.254</v>
      </c>
      <c r="F92" s="503">
        <v>1.2E-2</v>
      </c>
      <c r="G92" s="508">
        <v>19.07</v>
      </c>
      <c r="H92" s="509">
        <v>0</v>
      </c>
      <c r="I92" s="399">
        <v>0</v>
      </c>
      <c r="J92" s="500">
        <v>0</v>
      </c>
      <c r="K92" s="46"/>
      <c r="L92" s="46"/>
      <c r="M92" s="47"/>
      <c r="N92" s="47"/>
      <c r="O92" s="47"/>
      <c r="P92" s="47"/>
      <c r="Q92" s="47"/>
      <c r="R92" s="47"/>
      <c r="S92" s="47"/>
      <c r="T92" s="47"/>
    </row>
    <row r="93" spans="1:20" ht="35.049999999999997" customHeight="1" x14ac:dyDescent="0.3">
      <c r="A93" s="398" t="s">
        <v>588</v>
      </c>
      <c r="B93" s="17"/>
      <c r="C93" s="405">
        <v>4</v>
      </c>
      <c r="D93" s="501">
        <v>1.956</v>
      </c>
      <c r="E93" s="502">
        <v>0.254</v>
      </c>
      <c r="F93" s="503">
        <v>1.2E-2</v>
      </c>
      <c r="G93" s="509">
        <v>0</v>
      </c>
      <c r="H93" s="509">
        <v>0</v>
      </c>
      <c r="I93" s="399">
        <v>0</v>
      </c>
      <c r="J93" s="500">
        <v>0</v>
      </c>
      <c r="K93" s="46"/>
      <c r="L93" s="46"/>
      <c r="M93" s="47"/>
      <c r="N93" s="47"/>
      <c r="O93" s="47"/>
      <c r="P93" s="47"/>
      <c r="Q93" s="47"/>
      <c r="R93" s="47"/>
      <c r="S93" s="47"/>
      <c r="T93" s="47"/>
    </row>
    <row r="94" spans="1:20" ht="35.049999999999997" customHeight="1" x14ac:dyDescent="0.3">
      <c r="A94" s="398" t="s">
        <v>849</v>
      </c>
      <c r="B94" s="17"/>
      <c r="C94" s="405">
        <v>0</v>
      </c>
      <c r="D94" s="501">
        <v>1.528</v>
      </c>
      <c r="E94" s="502">
        <v>0.17100000000000001</v>
      </c>
      <c r="F94" s="503">
        <v>8.0000000000000002E-3</v>
      </c>
      <c r="G94" s="508">
        <v>4.58</v>
      </c>
      <c r="H94" s="508">
        <v>0.94</v>
      </c>
      <c r="I94" s="400">
        <v>1.76</v>
      </c>
      <c r="J94" s="499">
        <v>5.7000000000000002E-2</v>
      </c>
      <c r="K94" s="46"/>
      <c r="L94" s="46"/>
      <c r="M94" s="47"/>
      <c r="N94" s="47"/>
      <c r="O94" s="47"/>
      <c r="P94" s="47"/>
      <c r="Q94" s="47"/>
      <c r="R94" s="47"/>
      <c r="S94" s="47"/>
      <c r="T94" s="47"/>
    </row>
    <row r="95" spans="1:20" ht="35.049999999999997" customHeight="1" x14ac:dyDescent="0.3">
      <c r="A95" s="398" t="s">
        <v>850</v>
      </c>
      <c r="B95" s="17"/>
      <c r="C95" s="405">
        <v>0</v>
      </c>
      <c r="D95" s="501">
        <v>1.528</v>
      </c>
      <c r="E95" s="502">
        <v>0.17100000000000001</v>
      </c>
      <c r="F95" s="503">
        <v>8.0000000000000002E-3</v>
      </c>
      <c r="G95" s="508">
        <v>35.49</v>
      </c>
      <c r="H95" s="508">
        <v>0.94</v>
      </c>
      <c r="I95" s="400">
        <v>1.76</v>
      </c>
      <c r="J95" s="499">
        <v>5.7000000000000002E-2</v>
      </c>
      <c r="K95" s="46"/>
      <c r="L95" s="46"/>
      <c r="M95" s="47"/>
      <c r="N95" s="47"/>
      <c r="O95" s="47"/>
      <c r="P95" s="47"/>
      <c r="Q95" s="47"/>
      <c r="R95" s="47"/>
      <c r="S95" s="47"/>
      <c r="T95" s="47"/>
    </row>
    <row r="96" spans="1:20" ht="35.049999999999997" customHeight="1" x14ac:dyDescent="0.3">
      <c r="A96" s="398" t="s">
        <v>851</v>
      </c>
      <c r="B96" s="17"/>
      <c r="C96" s="405">
        <v>0</v>
      </c>
      <c r="D96" s="501">
        <v>1.528</v>
      </c>
      <c r="E96" s="502">
        <v>0.17100000000000001</v>
      </c>
      <c r="F96" s="503">
        <v>8.0000000000000002E-3</v>
      </c>
      <c r="G96" s="508">
        <v>62.03</v>
      </c>
      <c r="H96" s="508">
        <v>0.94</v>
      </c>
      <c r="I96" s="400">
        <v>1.76</v>
      </c>
      <c r="J96" s="499">
        <v>5.7000000000000002E-2</v>
      </c>
      <c r="K96" s="46"/>
      <c r="L96" s="46"/>
      <c r="M96" s="47"/>
      <c r="N96" s="47"/>
      <c r="O96" s="47"/>
      <c r="P96" s="47"/>
      <c r="Q96" s="47"/>
      <c r="R96" s="47"/>
      <c r="S96" s="47"/>
      <c r="T96" s="47"/>
    </row>
    <row r="97" spans="1:20" ht="35.049999999999997" customHeight="1" x14ac:dyDescent="0.3">
      <c r="A97" s="398" t="s">
        <v>852</v>
      </c>
      <c r="B97" s="17"/>
      <c r="C97" s="405">
        <v>0</v>
      </c>
      <c r="D97" s="501">
        <v>1.528</v>
      </c>
      <c r="E97" s="502">
        <v>0.17100000000000001</v>
      </c>
      <c r="F97" s="503">
        <v>8.0000000000000002E-3</v>
      </c>
      <c r="G97" s="508">
        <v>93.5</v>
      </c>
      <c r="H97" s="508">
        <v>0.94</v>
      </c>
      <c r="I97" s="400">
        <v>1.76</v>
      </c>
      <c r="J97" s="499">
        <v>5.7000000000000002E-2</v>
      </c>
      <c r="K97" s="46"/>
      <c r="L97" s="46"/>
      <c r="M97" s="47"/>
      <c r="N97" s="47"/>
      <c r="O97" s="47"/>
      <c r="P97" s="47"/>
      <c r="Q97" s="47"/>
      <c r="R97" s="47"/>
      <c r="S97" s="47"/>
      <c r="T97" s="47"/>
    </row>
    <row r="98" spans="1:20" ht="35.049999999999997" customHeight="1" x14ac:dyDescent="0.3">
      <c r="A98" s="398" t="s">
        <v>853</v>
      </c>
      <c r="B98" s="17"/>
      <c r="C98" s="405">
        <v>0</v>
      </c>
      <c r="D98" s="501">
        <v>1.528</v>
      </c>
      <c r="E98" s="502">
        <v>0.17100000000000001</v>
      </c>
      <c r="F98" s="503">
        <v>8.0000000000000002E-3</v>
      </c>
      <c r="G98" s="508">
        <v>231.96</v>
      </c>
      <c r="H98" s="508">
        <v>0.94</v>
      </c>
      <c r="I98" s="400">
        <v>1.76</v>
      </c>
      <c r="J98" s="499">
        <v>5.7000000000000002E-2</v>
      </c>
      <c r="K98" s="46"/>
      <c r="L98" s="46"/>
      <c r="M98" s="47"/>
      <c r="N98" s="47"/>
      <c r="O98" s="47"/>
      <c r="P98" s="47"/>
      <c r="Q98" s="47"/>
      <c r="R98" s="47"/>
      <c r="S98" s="47"/>
      <c r="T98" s="47"/>
    </row>
    <row r="99" spans="1:20" ht="35.049999999999997" customHeight="1" x14ac:dyDescent="0.3">
      <c r="A99" s="398" t="s">
        <v>854</v>
      </c>
      <c r="B99" s="17"/>
      <c r="C99" s="405">
        <v>0</v>
      </c>
      <c r="D99" s="501">
        <v>1.577</v>
      </c>
      <c r="E99" s="502">
        <v>0.121</v>
      </c>
      <c r="F99" s="503">
        <v>5.0000000000000001E-3</v>
      </c>
      <c r="G99" s="508">
        <v>16.36</v>
      </c>
      <c r="H99" s="508">
        <v>1.99</v>
      </c>
      <c r="I99" s="400">
        <v>2.59</v>
      </c>
      <c r="J99" s="499">
        <v>0.05</v>
      </c>
      <c r="K99" s="46"/>
      <c r="L99" s="46"/>
      <c r="M99" s="47"/>
      <c r="N99" s="47"/>
      <c r="O99" s="47"/>
      <c r="P99" s="47"/>
      <c r="Q99" s="47"/>
      <c r="R99" s="47"/>
      <c r="S99" s="47"/>
      <c r="T99" s="47"/>
    </row>
    <row r="100" spans="1:20" ht="35.049999999999997" customHeight="1" x14ac:dyDescent="0.3">
      <c r="A100" s="398" t="s">
        <v>855</v>
      </c>
      <c r="B100" s="17"/>
      <c r="C100" s="405">
        <v>0</v>
      </c>
      <c r="D100" s="501">
        <v>1.577</v>
      </c>
      <c r="E100" s="502">
        <v>0.121</v>
      </c>
      <c r="F100" s="503">
        <v>5.0000000000000001E-3</v>
      </c>
      <c r="G100" s="508">
        <v>64.73</v>
      </c>
      <c r="H100" s="508">
        <v>1.99</v>
      </c>
      <c r="I100" s="400">
        <v>2.59</v>
      </c>
      <c r="J100" s="499">
        <v>0.05</v>
      </c>
      <c r="K100" s="46"/>
      <c r="L100" s="46"/>
      <c r="M100" s="47"/>
      <c r="N100" s="47"/>
      <c r="O100" s="47"/>
      <c r="P100" s="47"/>
      <c r="Q100" s="47"/>
      <c r="R100" s="47"/>
      <c r="S100" s="47"/>
      <c r="T100" s="47"/>
    </row>
    <row r="101" spans="1:20" ht="35.049999999999997" customHeight="1" x14ac:dyDescent="0.3">
      <c r="A101" s="398" t="s">
        <v>856</v>
      </c>
      <c r="B101" s="17"/>
      <c r="C101" s="405">
        <v>0</v>
      </c>
      <c r="D101" s="501">
        <v>1.577</v>
      </c>
      <c r="E101" s="502">
        <v>0.121</v>
      </c>
      <c r="F101" s="503">
        <v>5.0000000000000001E-3</v>
      </c>
      <c r="G101" s="508">
        <v>106.27</v>
      </c>
      <c r="H101" s="508">
        <v>1.99</v>
      </c>
      <c r="I101" s="400">
        <v>2.59</v>
      </c>
      <c r="J101" s="499">
        <v>0.05</v>
      </c>
      <c r="K101" s="46"/>
      <c r="L101" s="46"/>
      <c r="M101" s="47"/>
      <c r="N101" s="47"/>
      <c r="O101" s="47"/>
      <c r="P101" s="47"/>
      <c r="Q101" s="47"/>
      <c r="R101" s="47"/>
      <c r="S101" s="47"/>
      <c r="T101" s="47"/>
    </row>
    <row r="102" spans="1:20" ht="35.049999999999997" customHeight="1" x14ac:dyDescent="0.3">
      <c r="A102" s="398" t="s">
        <v>857</v>
      </c>
      <c r="B102" s="17"/>
      <c r="C102" s="405">
        <v>0</v>
      </c>
      <c r="D102" s="501">
        <v>1.577</v>
      </c>
      <c r="E102" s="502">
        <v>0.121</v>
      </c>
      <c r="F102" s="503">
        <v>5.0000000000000001E-3</v>
      </c>
      <c r="G102" s="508">
        <v>155.51</v>
      </c>
      <c r="H102" s="508">
        <v>1.99</v>
      </c>
      <c r="I102" s="400">
        <v>2.59</v>
      </c>
      <c r="J102" s="499">
        <v>0.05</v>
      </c>
      <c r="K102" s="46"/>
      <c r="L102" s="46"/>
      <c r="M102" s="47"/>
      <c r="N102" s="47"/>
      <c r="O102" s="47"/>
      <c r="P102" s="47"/>
      <c r="Q102" s="47"/>
      <c r="R102" s="47"/>
      <c r="S102" s="47"/>
      <c r="T102" s="47"/>
    </row>
    <row r="103" spans="1:20" ht="35.049999999999997" customHeight="1" x14ac:dyDescent="0.3">
      <c r="A103" s="398" t="s">
        <v>858</v>
      </c>
      <c r="B103" s="17"/>
      <c r="C103" s="405">
        <v>0</v>
      </c>
      <c r="D103" s="501">
        <v>1.577</v>
      </c>
      <c r="E103" s="502">
        <v>0.121</v>
      </c>
      <c r="F103" s="503">
        <v>5.0000000000000001E-3</v>
      </c>
      <c r="G103" s="508">
        <v>372.19</v>
      </c>
      <c r="H103" s="508">
        <v>1.99</v>
      </c>
      <c r="I103" s="400">
        <v>2.59</v>
      </c>
      <c r="J103" s="499">
        <v>0.05</v>
      </c>
      <c r="K103" s="46"/>
      <c r="L103" s="46"/>
      <c r="M103" s="47"/>
      <c r="N103" s="47"/>
      <c r="O103" s="47"/>
      <c r="P103" s="47"/>
      <c r="Q103" s="47"/>
      <c r="R103" s="47"/>
      <c r="S103" s="47"/>
      <c r="T103" s="47"/>
    </row>
    <row r="104" spans="1:20" ht="35.049999999999997" customHeight="1" x14ac:dyDescent="0.3">
      <c r="A104" s="398" t="s">
        <v>859</v>
      </c>
      <c r="B104" s="17"/>
      <c r="C104" s="405">
        <v>0</v>
      </c>
      <c r="D104" s="501">
        <v>1.4590000000000001</v>
      </c>
      <c r="E104" s="502">
        <v>9.9000000000000005E-2</v>
      </c>
      <c r="F104" s="503">
        <v>4.0000000000000001E-3</v>
      </c>
      <c r="G104" s="508">
        <v>80.040000000000006</v>
      </c>
      <c r="H104" s="508">
        <v>2.69</v>
      </c>
      <c r="I104" s="400">
        <v>3.25</v>
      </c>
      <c r="J104" s="499">
        <v>4.2999999999999997E-2</v>
      </c>
      <c r="K104" s="46"/>
      <c r="L104" s="46"/>
      <c r="M104" s="47"/>
      <c r="N104" s="47"/>
      <c r="O104" s="47"/>
      <c r="P104" s="47"/>
      <c r="Q104" s="47"/>
      <c r="R104" s="47"/>
      <c r="S104" s="47"/>
      <c r="T104" s="47"/>
    </row>
    <row r="105" spans="1:20" ht="35.049999999999997" customHeight="1" x14ac:dyDescent="0.3">
      <c r="A105" s="398" t="s">
        <v>860</v>
      </c>
      <c r="B105" s="17"/>
      <c r="C105" s="405">
        <v>0</v>
      </c>
      <c r="D105" s="501">
        <v>1.4590000000000001</v>
      </c>
      <c r="E105" s="502">
        <v>9.9000000000000005E-2</v>
      </c>
      <c r="F105" s="503">
        <v>4.0000000000000001E-3</v>
      </c>
      <c r="G105" s="508">
        <v>416.8</v>
      </c>
      <c r="H105" s="508">
        <v>2.69</v>
      </c>
      <c r="I105" s="400">
        <v>3.25</v>
      </c>
      <c r="J105" s="499">
        <v>4.2999999999999997E-2</v>
      </c>
      <c r="K105" s="46"/>
      <c r="L105" s="46"/>
      <c r="M105" s="47"/>
      <c r="N105" s="47"/>
      <c r="O105" s="47"/>
      <c r="P105" s="47"/>
      <c r="Q105" s="47"/>
      <c r="R105" s="47"/>
      <c r="S105" s="47"/>
      <c r="T105" s="47"/>
    </row>
    <row r="106" spans="1:20" ht="35.049999999999997" customHeight="1" x14ac:dyDescent="0.3">
      <c r="A106" s="398" t="s">
        <v>861</v>
      </c>
      <c r="B106" s="17"/>
      <c r="C106" s="405">
        <v>0</v>
      </c>
      <c r="D106" s="501">
        <v>1.4590000000000001</v>
      </c>
      <c r="E106" s="502">
        <v>9.9000000000000005E-2</v>
      </c>
      <c r="F106" s="503">
        <v>4.0000000000000001E-3</v>
      </c>
      <c r="G106" s="508">
        <v>1062.5899999999999</v>
      </c>
      <c r="H106" s="508">
        <v>2.69</v>
      </c>
      <c r="I106" s="400">
        <v>3.25</v>
      </c>
      <c r="J106" s="499">
        <v>4.2999999999999997E-2</v>
      </c>
      <c r="K106" s="46"/>
      <c r="L106" s="46"/>
      <c r="M106" s="47"/>
      <c r="N106" s="47"/>
      <c r="O106" s="47"/>
      <c r="P106" s="47"/>
      <c r="Q106" s="47"/>
      <c r="R106" s="47"/>
      <c r="S106" s="47"/>
      <c r="T106" s="47"/>
    </row>
    <row r="107" spans="1:20" ht="35.049999999999997" customHeight="1" x14ac:dyDescent="0.3">
      <c r="A107" s="398" t="s">
        <v>862</v>
      </c>
      <c r="B107" s="17"/>
      <c r="C107" s="405">
        <v>0</v>
      </c>
      <c r="D107" s="501">
        <v>1.4590000000000001</v>
      </c>
      <c r="E107" s="502">
        <v>9.9000000000000005E-2</v>
      </c>
      <c r="F107" s="503">
        <v>4.0000000000000001E-3</v>
      </c>
      <c r="G107" s="508">
        <v>1883.49</v>
      </c>
      <c r="H107" s="508">
        <v>2.69</v>
      </c>
      <c r="I107" s="400">
        <v>3.25</v>
      </c>
      <c r="J107" s="499">
        <v>4.2999999999999997E-2</v>
      </c>
      <c r="K107" s="46"/>
      <c r="L107" s="46"/>
      <c r="M107" s="47"/>
      <c r="N107" s="47"/>
      <c r="O107" s="47"/>
      <c r="P107" s="47"/>
      <c r="Q107" s="47"/>
      <c r="R107" s="47"/>
      <c r="S107" s="47"/>
      <c r="T107" s="47"/>
    </row>
    <row r="108" spans="1:20" ht="35.049999999999997" customHeight="1" x14ac:dyDescent="0.3">
      <c r="A108" s="398" t="s">
        <v>863</v>
      </c>
      <c r="B108" s="17"/>
      <c r="C108" s="405">
        <v>0</v>
      </c>
      <c r="D108" s="501">
        <v>1.4590000000000001</v>
      </c>
      <c r="E108" s="502">
        <v>9.9000000000000005E-2</v>
      </c>
      <c r="F108" s="503">
        <v>4.0000000000000001E-3</v>
      </c>
      <c r="G108" s="508">
        <v>4817.91</v>
      </c>
      <c r="H108" s="508">
        <v>2.69</v>
      </c>
      <c r="I108" s="400">
        <v>3.25</v>
      </c>
      <c r="J108" s="499">
        <v>4.2999999999999997E-2</v>
      </c>
      <c r="K108" s="46"/>
      <c r="L108" s="46"/>
      <c r="M108" s="47"/>
      <c r="N108" s="47"/>
      <c r="O108" s="47"/>
      <c r="P108" s="47"/>
      <c r="Q108" s="47"/>
      <c r="R108" s="47"/>
      <c r="S108" s="47"/>
      <c r="T108" s="47"/>
    </row>
    <row r="109" spans="1:20" ht="35.049999999999997" customHeight="1" x14ac:dyDescent="0.3">
      <c r="A109" s="398" t="s">
        <v>589</v>
      </c>
      <c r="B109" s="17"/>
      <c r="C109" s="405" t="s">
        <v>616</v>
      </c>
      <c r="D109" s="504">
        <v>5.0670000000000002</v>
      </c>
      <c r="E109" s="505">
        <v>0.92400000000000004</v>
      </c>
      <c r="F109" s="503">
        <v>0.70699999999999996</v>
      </c>
      <c r="G109" s="509">
        <v>0</v>
      </c>
      <c r="H109" s="509">
        <v>0</v>
      </c>
      <c r="I109" s="399">
        <v>0</v>
      </c>
      <c r="J109" s="500">
        <v>0</v>
      </c>
      <c r="K109" s="46"/>
      <c r="L109" s="46"/>
      <c r="M109" s="47"/>
      <c r="N109" s="47"/>
      <c r="O109" s="47"/>
      <c r="P109" s="47"/>
      <c r="Q109" s="47"/>
      <c r="R109" s="47"/>
      <c r="S109" s="47"/>
      <c r="T109" s="47"/>
    </row>
    <row r="110" spans="1:20" ht="35.049999999999997" customHeight="1" x14ac:dyDescent="0.3">
      <c r="A110" s="398" t="s">
        <v>696</v>
      </c>
      <c r="B110" s="17"/>
      <c r="C110" s="405" t="s">
        <v>621</v>
      </c>
      <c r="D110" s="501">
        <v>-2.3570000000000002</v>
      </c>
      <c r="E110" s="502">
        <v>-0.30599999999999999</v>
      </c>
      <c r="F110" s="503">
        <v>-1.4999999999999999E-2</v>
      </c>
      <c r="G110" s="508">
        <v>0</v>
      </c>
      <c r="H110" s="509">
        <v>0</v>
      </c>
      <c r="I110" s="399">
        <v>0</v>
      </c>
      <c r="J110" s="500">
        <v>0</v>
      </c>
      <c r="K110" s="46"/>
      <c r="L110" s="46"/>
      <c r="M110" s="47"/>
      <c r="N110" s="47"/>
      <c r="O110" s="47"/>
      <c r="P110" s="47"/>
      <c r="Q110" s="47"/>
      <c r="R110" s="47"/>
      <c r="S110" s="47"/>
      <c r="T110" s="47"/>
    </row>
    <row r="111" spans="1:20" ht="35.049999999999997" customHeight="1" x14ac:dyDescent="0.3">
      <c r="A111" s="398" t="s">
        <v>697</v>
      </c>
      <c r="B111" s="17"/>
      <c r="C111" s="405" t="s">
        <v>621</v>
      </c>
      <c r="D111" s="501">
        <v>-2.391</v>
      </c>
      <c r="E111" s="502">
        <v>-0.28399999999999997</v>
      </c>
      <c r="F111" s="503">
        <v>-1.4E-2</v>
      </c>
      <c r="G111" s="508">
        <v>0</v>
      </c>
      <c r="H111" s="509">
        <v>0</v>
      </c>
      <c r="I111" s="399">
        <v>0</v>
      </c>
      <c r="J111" s="500">
        <v>0</v>
      </c>
      <c r="K111" s="46"/>
      <c r="L111" s="46"/>
      <c r="M111" s="47"/>
      <c r="N111" s="47"/>
      <c r="O111" s="47"/>
      <c r="P111" s="47"/>
      <c r="Q111" s="47"/>
      <c r="R111" s="47"/>
      <c r="S111" s="47"/>
      <c r="T111" s="47"/>
    </row>
    <row r="112" spans="1:20" ht="35.049999999999997" customHeight="1" x14ac:dyDescent="0.3">
      <c r="A112" s="398" t="s">
        <v>698</v>
      </c>
      <c r="B112" s="17"/>
      <c r="C112" s="405">
        <v>0</v>
      </c>
      <c r="D112" s="501">
        <v>-2.3570000000000002</v>
      </c>
      <c r="E112" s="502">
        <v>-0.30599999999999999</v>
      </c>
      <c r="F112" s="503">
        <v>-1.4999999999999999E-2</v>
      </c>
      <c r="G112" s="508">
        <v>0</v>
      </c>
      <c r="H112" s="509">
        <v>0</v>
      </c>
      <c r="I112" s="399">
        <v>0</v>
      </c>
      <c r="J112" s="499">
        <v>9.1999999999999998E-2</v>
      </c>
      <c r="K112" s="46"/>
      <c r="L112" s="46"/>
      <c r="M112" s="47"/>
      <c r="N112" s="47"/>
      <c r="O112" s="47"/>
      <c r="P112" s="47"/>
      <c r="Q112" s="47"/>
      <c r="R112" s="47"/>
      <c r="S112" s="47"/>
      <c r="T112" s="47"/>
    </row>
    <row r="113" spans="1:20" ht="35.049999999999997" customHeight="1" x14ac:dyDescent="0.3">
      <c r="A113" s="398" t="s">
        <v>699</v>
      </c>
      <c r="B113" s="17"/>
      <c r="C113" s="405">
        <v>0</v>
      </c>
      <c r="D113" s="501">
        <v>-2.391</v>
      </c>
      <c r="E113" s="502">
        <v>-0.28399999999999997</v>
      </c>
      <c r="F113" s="503">
        <v>-1.4E-2</v>
      </c>
      <c r="G113" s="508">
        <v>0</v>
      </c>
      <c r="H113" s="509">
        <v>0</v>
      </c>
      <c r="I113" s="399">
        <v>0</v>
      </c>
      <c r="J113" s="499">
        <v>8.7999999999999995E-2</v>
      </c>
      <c r="K113" s="46"/>
      <c r="L113" s="46"/>
      <c r="M113" s="47"/>
      <c r="N113" s="47"/>
      <c r="O113" s="47"/>
      <c r="P113" s="47"/>
      <c r="Q113" s="47"/>
      <c r="R113" s="47"/>
      <c r="S113" s="47"/>
      <c r="T113" s="47"/>
    </row>
    <row r="114" spans="1:20" ht="35.049999999999997" customHeight="1" x14ac:dyDescent="0.3">
      <c r="A114" s="398" t="s">
        <v>700</v>
      </c>
      <c r="B114" s="17"/>
      <c r="C114" s="405">
        <v>0</v>
      </c>
      <c r="D114" s="501">
        <v>-3.12</v>
      </c>
      <c r="E114" s="502">
        <v>-0.23799999999999999</v>
      </c>
      <c r="F114" s="503">
        <v>-0.01</v>
      </c>
      <c r="G114" s="508">
        <v>270.11</v>
      </c>
      <c r="H114" s="509">
        <v>0</v>
      </c>
      <c r="I114" s="399">
        <v>0</v>
      </c>
      <c r="J114" s="499">
        <v>0.129</v>
      </c>
      <c r="K114" s="46"/>
      <c r="L114" s="46"/>
      <c r="M114" s="47"/>
      <c r="N114" s="47"/>
      <c r="O114" s="47"/>
      <c r="P114" s="47"/>
      <c r="Q114" s="47"/>
      <c r="R114" s="47"/>
      <c r="S114" s="47"/>
      <c r="T114" s="47"/>
    </row>
    <row r="115" spans="1:20" ht="35.049999999999997" customHeight="1" x14ac:dyDescent="0.3">
      <c r="A115" s="398" t="s">
        <v>864</v>
      </c>
      <c r="B115" s="17"/>
      <c r="C115" s="405" t="s">
        <v>639</v>
      </c>
      <c r="D115" s="501">
        <v>1.657</v>
      </c>
      <c r="E115" s="502">
        <v>0.215</v>
      </c>
      <c r="F115" s="503">
        <v>0.01</v>
      </c>
      <c r="G115" s="508">
        <v>2.27</v>
      </c>
      <c r="H115" s="509">
        <v>0</v>
      </c>
      <c r="I115" s="399">
        <v>0</v>
      </c>
      <c r="J115" s="500">
        <v>0</v>
      </c>
      <c r="K115" s="46"/>
      <c r="L115" s="46"/>
      <c r="M115" s="47"/>
      <c r="N115" s="47"/>
      <c r="O115" s="47"/>
      <c r="P115" s="47"/>
      <c r="Q115" s="47"/>
      <c r="R115" s="47"/>
      <c r="S115" s="47"/>
      <c r="T115" s="47"/>
    </row>
    <row r="116" spans="1:20" ht="35.049999999999997" customHeight="1" x14ac:dyDescent="0.3">
      <c r="A116" s="398" t="s">
        <v>865</v>
      </c>
      <c r="B116" s="17"/>
      <c r="C116" s="405">
        <v>2</v>
      </c>
      <c r="D116" s="501">
        <v>1.657</v>
      </c>
      <c r="E116" s="502">
        <v>0.215</v>
      </c>
      <c r="F116" s="503">
        <v>0.01</v>
      </c>
      <c r="G116" s="509">
        <v>0</v>
      </c>
      <c r="H116" s="509">
        <v>0</v>
      </c>
      <c r="I116" s="399">
        <v>0</v>
      </c>
      <c r="J116" s="500">
        <v>0</v>
      </c>
      <c r="K116" s="46"/>
      <c r="L116" s="46"/>
      <c r="M116" s="47"/>
      <c r="N116" s="47"/>
      <c r="O116" s="47"/>
      <c r="P116" s="47"/>
      <c r="Q116" s="47"/>
      <c r="R116" s="47"/>
      <c r="S116" s="47"/>
      <c r="T116" s="47"/>
    </row>
    <row r="117" spans="1:20" ht="35.049999999999997" customHeight="1" x14ac:dyDescent="0.3">
      <c r="A117" s="398" t="s">
        <v>866</v>
      </c>
      <c r="B117" s="17"/>
      <c r="C117" s="405" t="s">
        <v>640</v>
      </c>
      <c r="D117" s="501">
        <v>1.46</v>
      </c>
      <c r="E117" s="502">
        <v>0.189</v>
      </c>
      <c r="F117" s="503">
        <v>8.9999999999999993E-3</v>
      </c>
      <c r="G117" s="508">
        <v>1.7</v>
      </c>
      <c r="H117" s="509">
        <v>0</v>
      </c>
      <c r="I117" s="399">
        <v>0</v>
      </c>
      <c r="J117" s="500">
        <v>0</v>
      </c>
      <c r="K117" s="46"/>
      <c r="L117" s="46"/>
      <c r="M117" s="47"/>
      <c r="N117" s="47"/>
      <c r="O117" s="47"/>
      <c r="P117" s="47"/>
      <c r="Q117" s="47"/>
      <c r="R117" s="47"/>
      <c r="S117" s="47"/>
      <c r="T117" s="47"/>
    </row>
    <row r="118" spans="1:20" ht="35.049999999999997" customHeight="1" x14ac:dyDescent="0.3">
      <c r="A118" s="398" t="s">
        <v>867</v>
      </c>
      <c r="B118" s="17"/>
      <c r="C118" s="405" t="s">
        <v>640</v>
      </c>
      <c r="D118" s="501">
        <v>1.46</v>
      </c>
      <c r="E118" s="502">
        <v>0.189</v>
      </c>
      <c r="F118" s="503">
        <v>8.9999999999999993E-3</v>
      </c>
      <c r="G118" s="508">
        <v>2.3199999999999998</v>
      </c>
      <c r="H118" s="509">
        <v>0</v>
      </c>
      <c r="I118" s="399">
        <v>0</v>
      </c>
      <c r="J118" s="500">
        <v>0</v>
      </c>
      <c r="K118" s="46"/>
      <c r="L118" s="46"/>
      <c r="M118" s="47"/>
      <c r="N118" s="47"/>
      <c r="O118" s="47"/>
      <c r="P118" s="47"/>
      <c r="Q118" s="47"/>
      <c r="R118" s="47"/>
      <c r="S118" s="47"/>
      <c r="T118" s="47"/>
    </row>
    <row r="119" spans="1:20" ht="35.049999999999997" customHeight="1" x14ac:dyDescent="0.3">
      <c r="A119" s="398" t="s">
        <v>868</v>
      </c>
      <c r="B119" s="17"/>
      <c r="C119" s="405" t="s">
        <v>640</v>
      </c>
      <c r="D119" s="501">
        <v>1.46</v>
      </c>
      <c r="E119" s="502">
        <v>0.189</v>
      </c>
      <c r="F119" s="503">
        <v>8.9999999999999993E-3</v>
      </c>
      <c r="G119" s="508">
        <v>3.74</v>
      </c>
      <c r="H119" s="509">
        <v>0</v>
      </c>
      <c r="I119" s="399">
        <v>0</v>
      </c>
      <c r="J119" s="500">
        <v>0</v>
      </c>
      <c r="K119" s="46"/>
      <c r="L119" s="46"/>
      <c r="M119" s="47"/>
      <c r="N119" s="47"/>
      <c r="O119" s="47"/>
      <c r="P119" s="47"/>
      <c r="Q119" s="47"/>
      <c r="R119" s="47"/>
      <c r="S119" s="47"/>
      <c r="T119" s="47"/>
    </row>
    <row r="120" spans="1:20" ht="35.049999999999997" customHeight="1" x14ac:dyDescent="0.3">
      <c r="A120" s="398" t="s">
        <v>869</v>
      </c>
      <c r="B120" s="17"/>
      <c r="C120" s="405" t="s">
        <v>640</v>
      </c>
      <c r="D120" s="501">
        <v>1.46</v>
      </c>
      <c r="E120" s="502">
        <v>0.189</v>
      </c>
      <c r="F120" s="503">
        <v>8.9999999999999993E-3</v>
      </c>
      <c r="G120" s="508">
        <v>6.33</v>
      </c>
      <c r="H120" s="509">
        <v>0</v>
      </c>
      <c r="I120" s="399">
        <v>0</v>
      </c>
      <c r="J120" s="500">
        <v>0</v>
      </c>
      <c r="K120" s="46"/>
      <c r="L120" s="46"/>
      <c r="M120" s="47"/>
      <c r="N120" s="47"/>
      <c r="O120" s="47"/>
      <c r="P120" s="47"/>
      <c r="Q120" s="47"/>
      <c r="R120" s="47"/>
      <c r="S120" s="47"/>
      <c r="T120" s="47"/>
    </row>
    <row r="121" spans="1:20" ht="35.049999999999997" customHeight="1" x14ac:dyDescent="0.3">
      <c r="A121" s="398" t="s">
        <v>870</v>
      </c>
      <c r="B121" s="17"/>
      <c r="C121" s="405" t="s">
        <v>640</v>
      </c>
      <c r="D121" s="501">
        <v>1.46</v>
      </c>
      <c r="E121" s="502">
        <v>0.189</v>
      </c>
      <c r="F121" s="503">
        <v>8.9999999999999993E-3</v>
      </c>
      <c r="G121" s="508">
        <v>14.28</v>
      </c>
      <c r="H121" s="509">
        <v>0</v>
      </c>
      <c r="I121" s="399">
        <v>0</v>
      </c>
      <c r="J121" s="500">
        <v>0</v>
      </c>
      <c r="K121" s="46"/>
      <c r="L121" s="46"/>
      <c r="M121" s="47"/>
      <c r="N121" s="47"/>
      <c r="O121" s="47"/>
      <c r="P121" s="47"/>
      <c r="Q121" s="47"/>
      <c r="R121" s="47"/>
      <c r="S121" s="47"/>
      <c r="T121" s="47"/>
    </row>
    <row r="122" spans="1:20" ht="35.049999999999997" customHeight="1" x14ac:dyDescent="0.3">
      <c r="A122" s="398" t="s">
        <v>590</v>
      </c>
      <c r="B122" s="17"/>
      <c r="C122" s="405">
        <v>4</v>
      </c>
      <c r="D122" s="501">
        <v>1.46</v>
      </c>
      <c r="E122" s="502">
        <v>0.189</v>
      </c>
      <c r="F122" s="503">
        <v>8.9999999999999993E-3</v>
      </c>
      <c r="G122" s="509">
        <v>0</v>
      </c>
      <c r="H122" s="509">
        <v>0</v>
      </c>
      <c r="I122" s="399">
        <v>0</v>
      </c>
      <c r="J122" s="500">
        <v>0</v>
      </c>
      <c r="K122" s="46"/>
      <c r="L122" s="46"/>
      <c r="M122" s="47"/>
      <c r="N122" s="47"/>
      <c r="O122" s="47"/>
      <c r="P122" s="47"/>
      <c r="Q122" s="47"/>
      <c r="R122" s="47"/>
      <c r="S122" s="47"/>
      <c r="T122" s="47"/>
    </row>
    <row r="123" spans="1:20" ht="35.049999999999997" customHeight="1" x14ac:dyDescent="0.3">
      <c r="A123" s="398" t="s">
        <v>871</v>
      </c>
      <c r="B123" s="17"/>
      <c r="C123" s="405">
        <v>0</v>
      </c>
      <c r="D123" s="501">
        <v>1.141</v>
      </c>
      <c r="E123" s="502">
        <v>0.127</v>
      </c>
      <c r="F123" s="503">
        <v>6.0000000000000001E-3</v>
      </c>
      <c r="G123" s="508">
        <v>3.46</v>
      </c>
      <c r="H123" s="508">
        <v>0.71</v>
      </c>
      <c r="I123" s="400">
        <v>1.32</v>
      </c>
      <c r="J123" s="499">
        <v>4.2000000000000003E-2</v>
      </c>
      <c r="K123" s="46"/>
      <c r="L123" s="46"/>
      <c r="M123" s="47"/>
      <c r="N123" s="47"/>
      <c r="O123" s="47"/>
      <c r="P123" s="47"/>
      <c r="Q123" s="47"/>
      <c r="R123" s="47"/>
      <c r="S123" s="47"/>
      <c r="T123" s="47"/>
    </row>
    <row r="124" spans="1:20" ht="35.049999999999997" customHeight="1" x14ac:dyDescent="0.3">
      <c r="A124" s="398" t="s">
        <v>872</v>
      </c>
      <c r="B124" s="17"/>
      <c r="C124" s="405">
        <v>0</v>
      </c>
      <c r="D124" s="501">
        <v>1.141</v>
      </c>
      <c r="E124" s="502">
        <v>0.127</v>
      </c>
      <c r="F124" s="503">
        <v>6.0000000000000001E-3</v>
      </c>
      <c r="G124" s="508">
        <v>26.53</v>
      </c>
      <c r="H124" s="508">
        <v>0.71</v>
      </c>
      <c r="I124" s="400">
        <v>1.32</v>
      </c>
      <c r="J124" s="499">
        <v>4.2000000000000003E-2</v>
      </c>
      <c r="K124" s="46"/>
      <c r="L124" s="46"/>
      <c r="M124" s="47"/>
      <c r="N124" s="47"/>
      <c r="O124" s="47"/>
      <c r="P124" s="47"/>
      <c r="Q124" s="47"/>
      <c r="R124" s="47"/>
      <c r="S124" s="47"/>
      <c r="T124" s="47"/>
    </row>
    <row r="125" spans="1:20" ht="35.049999999999997" customHeight="1" x14ac:dyDescent="0.3">
      <c r="A125" s="398" t="s">
        <v>873</v>
      </c>
      <c r="B125" s="17"/>
      <c r="C125" s="405">
        <v>0</v>
      </c>
      <c r="D125" s="501">
        <v>1.141</v>
      </c>
      <c r="E125" s="502">
        <v>0.127</v>
      </c>
      <c r="F125" s="503">
        <v>6.0000000000000001E-3</v>
      </c>
      <c r="G125" s="508">
        <v>46.35</v>
      </c>
      <c r="H125" s="508">
        <v>0.71</v>
      </c>
      <c r="I125" s="400">
        <v>1.32</v>
      </c>
      <c r="J125" s="499">
        <v>4.2000000000000003E-2</v>
      </c>
      <c r="K125" s="46"/>
      <c r="L125" s="46"/>
      <c r="M125" s="47"/>
      <c r="N125" s="47"/>
      <c r="O125" s="47"/>
      <c r="P125" s="47"/>
      <c r="Q125" s="47"/>
      <c r="R125" s="47"/>
      <c r="S125" s="47"/>
      <c r="T125" s="47"/>
    </row>
    <row r="126" spans="1:20" ht="35.049999999999997" customHeight="1" x14ac:dyDescent="0.3">
      <c r="A126" s="398" t="s">
        <v>874</v>
      </c>
      <c r="B126" s="17"/>
      <c r="C126" s="405">
        <v>0</v>
      </c>
      <c r="D126" s="501">
        <v>1.141</v>
      </c>
      <c r="E126" s="502">
        <v>0.127</v>
      </c>
      <c r="F126" s="503">
        <v>6.0000000000000001E-3</v>
      </c>
      <c r="G126" s="508">
        <v>69.84</v>
      </c>
      <c r="H126" s="508">
        <v>0.71</v>
      </c>
      <c r="I126" s="400">
        <v>1.32</v>
      </c>
      <c r="J126" s="499">
        <v>4.2000000000000003E-2</v>
      </c>
      <c r="K126" s="46"/>
      <c r="L126" s="46"/>
      <c r="M126" s="47"/>
      <c r="N126" s="47"/>
      <c r="O126" s="47"/>
      <c r="P126" s="47"/>
      <c r="Q126" s="47"/>
      <c r="R126" s="47"/>
      <c r="S126" s="47"/>
      <c r="T126" s="47"/>
    </row>
    <row r="127" spans="1:20" ht="35.049999999999997" customHeight="1" x14ac:dyDescent="0.3">
      <c r="A127" s="398" t="s">
        <v>875</v>
      </c>
      <c r="B127" s="17"/>
      <c r="C127" s="405">
        <v>0</v>
      </c>
      <c r="D127" s="501">
        <v>1.141</v>
      </c>
      <c r="E127" s="502">
        <v>0.127</v>
      </c>
      <c r="F127" s="503">
        <v>6.0000000000000001E-3</v>
      </c>
      <c r="G127" s="508">
        <v>173.2</v>
      </c>
      <c r="H127" s="508">
        <v>0.71</v>
      </c>
      <c r="I127" s="400">
        <v>1.32</v>
      </c>
      <c r="J127" s="499">
        <v>4.2000000000000003E-2</v>
      </c>
      <c r="K127" s="46"/>
      <c r="L127" s="46"/>
      <c r="M127" s="47"/>
      <c r="N127" s="47"/>
      <c r="O127" s="47"/>
      <c r="P127" s="47"/>
      <c r="Q127" s="47"/>
      <c r="R127" s="47"/>
      <c r="S127" s="47"/>
      <c r="T127" s="47"/>
    </row>
    <row r="128" spans="1:20" ht="35.049999999999997" customHeight="1" x14ac:dyDescent="0.3">
      <c r="A128" s="398" t="s">
        <v>876</v>
      </c>
      <c r="B128" s="17"/>
      <c r="C128" s="405">
        <v>0</v>
      </c>
      <c r="D128" s="501">
        <v>1.177</v>
      </c>
      <c r="E128" s="502">
        <v>0.09</v>
      </c>
      <c r="F128" s="503">
        <v>4.0000000000000001E-3</v>
      </c>
      <c r="G128" s="508">
        <v>12.25</v>
      </c>
      <c r="H128" s="508">
        <v>1.48</v>
      </c>
      <c r="I128" s="400">
        <v>1.94</v>
      </c>
      <c r="J128" s="499">
        <v>3.6999999999999998E-2</v>
      </c>
      <c r="K128" s="46"/>
      <c r="L128" s="46"/>
      <c r="M128" s="47"/>
      <c r="N128" s="47"/>
      <c r="O128" s="47"/>
      <c r="P128" s="47"/>
      <c r="Q128" s="47"/>
      <c r="R128" s="47"/>
      <c r="S128" s="47"/>
      <c r="T128" s="47"/>
    </row>
    <row r="129" spans="1:20" ht="35.049999999999997" customHeight="1" x14ac:dyDescent="0.3">
      <c r="A129" s="398" t="s">
        <v>877</v>
      </c>
      <c r="B129" s="17"/>
      <c r="C129" s="405">
        <v>0</v>
      </c>
      <c r="D129" s="501">
        <v>1.177</v>
      </c>
      <c r="E129" s="502">
        <v>0.09</v>
      </c>
      <c r="F129" s="503">
        <v>4.0000000000000001E-3</v>
      </c>
      <c r="G129" s="508">
        <v>48.36</v>
      </c>
      <c r="H129" s="508">
        <v>1.48</v>
      </c>
      <c r="I129" s="400">
        <v>1.94</v>
      </c>
      <c r="J129" s="499">
        <v>3.6999999999999998E-2</v>
      </c>
      <c r="K129" s="46"/>
      <c r="L129" s="46"/>
      <c r="M129" s="47"/>
      <c r="N129" s="47"/>
      <c r="O129" s="47"/>
      <c r="P129" s="47"/>
      <c r="Q129" s="47"/>
      <c r="R129" s="47"/>
      <c r="S129" s="47"/>
      <c r="T129" s="47"/>
    </row>
    <row r="130" spans="1:20" ht="35.049999999999997" customHeight="1" x14ac:dyDescent="0.3">
      <c r="A130" s="398" t="s">
        <v>878</v>
      </c>
      <c r="B130" s="17"/>
      <c r="C130" s="405">
        <v>0</v>
      </c>
      <c r="D130" s="501">
        <v>1.177</v>
      </c>
      <c r="E130" s="502">
        <v>0.09</v>
      </c>
      <c r="F130" s="503">
        <v>4.0000000000000001E-3</v>
      </c>
      <c r="G130" s="508">
        <v>79.38</v>
      </c>
      <c r="H130" s="508">
        <v>1.48</v>
      </c>
      <c r="I130" s="400">
        <v>1.94</v>
      </c>
      <c r="J130" s="499">
        <v>3.6999999999999998E-2</v>
      </c>
      <c r="K130" s="46"/>
      <c r="L130" s="46"/>
      <c r="M130" s="47"/>
      <c r="N130" s="47"/>
      <c r="O130" s="47"/>
      <c r="P130" s="47"/>
      <c r="Q130" s="47"/>
      <c r="R130" s="47"/>
      <c r="S130" s="47"/>
      <c r="T130" s="47"/>
    </row>
    <row r="131" spans="1:20" ht="35.049999999999997" customHeight="1" x14ac:dyDescent="0.3">
      <c r="A131" s="398" t="s">
        <v>879</v>
      </c>
      <c r="B131" s="17"/>
      <c r="C131" s="405">
        <v>0</v>
      </c>
      <c r="D131" s="501">
        <v>1.177</v>
      </c>
      <c r="E131" s="502">
        <v>0.09</v>
      </c>
      <c r="F131" s="503">
        <v>4.0000000000000001E-3</v>
      </c>
      <c r="G131" s="508">
        <v>116.13</v>
      </c>
      <c r="H131" s="508">
        <v>1.48</v>
      </c>
      <c r="I131" s="400">
        <v>1.94</v>
      </c>
      <c r="J131" s="499">
        <v>3.6999999999999998E-2</v>
      </c>
      <c r="K131" s="46"/>
      <c r="L131" s="46"/>
      <c r="M131" s="47"/>
      <c r="N131" s="47"/>
      <c r="O131" s="47"/>
      <c r="P131" s="47"/>
      <c r="Q131" s="47"/>
      <c r="R131" s="47"/>
      <c r="S131" s="47"/>
      <c r="T131" s="47"/>
    </row>
    <row r="132" spans="1:20" ht="35.049999999999997" customHeight="1" x14ac:dyDescent="0.3">
      <c r="A132" s="398" t="s">
        <v>880</v>
      </c>
      <c r="B132" s="17"/>
      <c r="C132" s="405">
        <v>0</v>
      </c>
      <c r="D132" s="501">
        <v>1.177</v>
      </c>
      <c r="E132" s="502">
        <v>0.09</v>
      </c>
      <c r="F132" s="503">
        <v>4.0000000000000001E-3</v>
      </c>
      <c r="G132" s="508">
        <v>277.88</v>
      </c>
      <c r="H132" s="508">
        <v>1.48</v>
      </c>
      <c r="I132" s="400">
        <v>1.94</v>
      </c>
      <c r="J132" s="499">
        <v>3.6999999999999998E-2</v>
      </c>
      <c r="K132" s="46"/>
      <c r="L132" s="46"/>
      <c r="M132" s="47"/>
      <c r="N132" s="47"/>
      <c r="O132" s="47"/>
      <c r="P132" s="47"/>
      <c r="Q132" s="47"/>
      <c r="R132" s="47"/>
      <c r="S132" s="47"/>
      <c r="T132" s="47"/>
    </row>
    <row r="133" spans="1:20" ht="35.049999999999997" customHeight="1" x14ac:dyDescent="0.3">
      <c r="A133" s="398" t="s">
        <v>881</v>
      </c>
      <c r="B133" s="17"/>
      <c r="C133" s="405">
        <v>0</v>
      </c>
      <c r="D133" s="501">
        <v>1.089</v>
      </c>
      <c r="E133" s="502">
        <v>7.3999999999999996E-2</v>
      </c>
      <c r="F133" s="503">
        <v>3.0000000000000001E-3</v>
      </c>
      <c r="G133" s="508">
        <v>59.79</v>
      </c>
      <c r="H133" s="508">
        <v>2.0099999999999998</v>
      </c>
      <c r="I133" s="400">
        <v>2.4300000000000002</v>
      </c>
      <c r="J133" s="499">
        <v>3.2000000000000001E-2</v>
      </c>
      <c r="K133" s="46"/>
      <c r="L133" s="46"/>
      <c r="M133" s="47"/>
      <c r="N133" s="47"/>
      <c r="O133" s="47"/>
      <c r="P133" s="47"/>
      <c r="Q133" s="47"/>
      <c r="R133" s="47"/>
      <c r="S133" s="47"/>
      <c r="T133" s="47"/>
    </row>
    <row r="134" spans="1:20" ht="35.049999999999997" customHeight="1" x14ac:dyDescent="0.3">
      <c r="A134" s="398" t="s">
        <v>882</v>
      </c>
      <c r="B134" s="17"/>
      <c r="C134" s="405">
        <v>0</v>
      </c>
      <c r="D134" s="501">
        <v>1.089</v>
      </c>
      <c r="E134" s="502">
        <v>7.3999999999999996E-2</v>
      </c>
      <c r="F134" s="503">
        <v>3.0000000000000001E-3</v>
      </c>
      <c r="G134" s="508">
        <v>311.19</v>
      </c>
      <c r="H134" s="508">
        <v>2.0099999999999998</v>
      </c>
      <c r="I134" s="400">
        <v>2.4300000000000002</v>
      </c>
      <c r="J134" s="499">
        <v>3.2000000000000001E-2</v>
      </c>
      <c r="K134" s="46"/>
      <c r="L134" s="46"/>
      <c r="M134" s="47"/>
      <c r="N134" s="47"/>
      <c r="O134" s="47"/>
      <c r="P134" s="47"/>
      <c r="Q134" s="47"/>
      <c r="R134" s="47"/>
      <c r="S134" s="47"/>
      <c r="T134" s="47"/>
    </row>
    <row r="135" spans="1:20" ht="35.049999999999997" customHeight="1" x14ac:dyDescent="0.3">
      <c r="A135" s="398" t="s">
        <v>883</v>
      </c>
      <c r="B135" s="17"/>
      <c r="C135" s="405">
        <v>0</v>
      </c>
      <c r="D135" s="501">
        <v>1.089</v>
      </c>
      <c r="E135" s="502">
        <v>7.3999999999999996E-2</v>
      </c>
      <c r="F135" s="503">
        <v>3.0000000000000001E-3</v>
      </c>
      <c r="G135" s="508">
        <v>793.27</v>
      </c>
      <c r="H135" s="508">
        <v>2.0099999999999998</v>
      </c>
      <c r="I135" s="400">
        <v>2.4300000000000002</v>
      </c>
      <c r="J135" s="499">
        <v>3.2000000000000001E-2</v>
      </c>
      <c r="K135" s="46"/>
      <c r="L135" s="46"/>
      <c r="M135" s="47"/>
      <c r="N135" s="47"/>
      <c r="O135" s="47"/>
      <c r="P135" s="47"/>
      <c r="Q135" s="47"/>
      <c r="R135" s="47"/>
      <c r="S135" s="47"/>
      <c r="T135" s="47"/>
    </row>
    <row r="136" spans="1:20" ht="35.049999999999997" customHeight="1" x14ac:dyDescent="0.3">
      <c r="A136" s="398" t="s">
        <v>884</v>
      </c>
      <c r="B136" s="17"/>
      <c r="C136" s="405">
        <v>0</v>
      </c>
      <c r="D136" s="501">
        <v>1.089</v>
      </c>
      <c r="E136" s="502">
        <v>7.3999999999999996E-2</v>
      </c>
      <c r="F136" s="503">
        <v>3.0000000000000001E-3</v>
      </c>
      <c r="G136" s="508">
        <v>1406.06</v>
      </c>
      <c r="H136" s="508">
        <v>2.0099999999999998</v>
      </c>
      <c r="I136" s="400">
        <v>2.4300000000000002</v>
      </c>
      <c r="J136" s="499">
        <v>3.2000000000000001E-2</v>
      </c>
      <c r="K136" s="46"/>
      <c r="L136" s="46"/>
      <c r="M136" s="47"/>
      <c r="N136" s="47"/>
      <c r="O136" s="47"/>
      <c r="P136" s="47"/>
      <c r="Q136" s="47"/>
      <c r="R136" s="47"/>
      <c r="S136" s="47"/>
      <c r="T136" s="47"/>
    </row>
    <row r="137" spans="1:20" ht="35.049999999999997" customHeight="1" x14ac:dyDescent="0.3">
      <c r="A137" s="398" t="s">
        <v>885</v>
      </c>
      <c r="B137" s="17"/>
      <c r="C137" s="405">
        <v>0</v>
      </c>
      <c r="D137" s="501">
        <v>1.089</v>
      </c>
      <c r="E137" s="502">
        <v>7.3999999999999996E-2</v>
      </c>
      <c r="F137" s="503">
        <v>3.0000000000000001E-3</v>
      </c>
      <c r="G137" s="508">
        <v>3596.61</v>
      </c>
      <c r="H137" s="508">
        <v>2.0099999999999998</v>
      </c>
      <c r="I137" s="400">
        <v>2.4300000000000002</v>
      </c>
      <c r="J137" s="499">
        <v>3.2000000000000001E-2</v>
      </c>
      <c r="K137" s="46"/>
      <c r="L137" s="46"/>
      <c r="M137" s="47"/>
      <c r="N137" s="47"/>
      <c r="O137" s="47"/>
      <c r="P137" s="47"/>
      <c r="Q137" s="47"/>
      <c r="R137" s="47"/>
      <c r="S137" s="47"/>
      <c r="T137" s="47"/>
    </row>
    <row r="138" spans="1:20" ht="35.049999999999997" customHeight="1" x14ac:dyDescent="0.3">
      <c r="A138" s="398" t="s">
        <v>591</v>
      </c>
      <c r="B138" s="17"/>
      <c r="C138" s="405" t="s">
        <v>616</v>
      </c>
      <c r="D138" s="504">
        <v>3.7829999999999999</v>
      </c>
      <c r="E138" s="505">
        <v>0.69</v>
      </c>
      <c r="F138" s="503">
        <v>0.52700000000000002</v>
      </c>
      <c r="G138" s="509">
        <v>0</v>
      </c>
      <c r="H138" s="509">
        <v>0</v>
      </c>
      <c r="I138" s="399">
        <v>0</v>
      </c>
      <c r="J138" s="500">
        <v>0</v>
      </c>
      <c r="K138" s="46"/>
      <c r="L138" s="46"/>
      <c r="M138" s="47"/>
      <c r="N138" s="47"/>
      <c r="O138" s="47"/>
      <c r="P138" s="47"/>
      <c r="Q138" s="47"/>
      <c r="R138" s="47"/>
      <c r="S138" s="47"/>
      <c r="T138" s="47"/>
    </row>
    <row r="139" spans="1:20" ht="35.049999999999997" customHeight="1" x14ac:dyDescent="0.3">
      <c r="A139" s="398" t="s">
        <v>701</v>
      </c>
      <c r="B139" s="17"/>
      <c r="C139" s="405" t="s">
        <v>621</v>
      </c>
      <c r="D139" s="501">
        <v>-1.7589999999999999</v>
      </c>
      <c r="E139" s="502">
        <v>-0.22800000000000001</v>
      </c>
      <c r="F139" s="503">
        <v>-1.0999999999999999E-2</v>
      </c>
      <c r="G139" s="508">
        <v>0</v>
      </c>
      <c r="H139" s="509">
        <v>0</v>
      </c>
      <c r="I139" s="399">
        <v>0</v>
      </c>
      <c r="J139" s="500">
        <v>0</v>
      </c>
      <c r="K139" s="46"/>
      <c r="L139" s="46"/>
      <c r="M139" s="47"/>
      <c r="N139" s="47"/>
      <c r="O139" s="47"/>
      <c r="P139" s="47"/>
      <c r="Q139" s="47"/>
      <c r="R139" s="47"/>
      <c r="S139" s="47"/>
      <c r="T139" s="47"/>
    </row>
    <row r="140" spans="1:20" ht="35.049999999999997" customHeight="1" x14ac:dyDescent="0.3">
      <c r="A140" s="398" t="s">
        <v>702</v>
      </c>
      <c r="B140" s="17"/>
      <c r="C140" s="405" t="s">
        <v>621</v>
      </c>
      <c r="D140" s="501">
        <v>-1.7849999999999999</v>
      </c>
      <c r="E140" s="502">
        <v>-0.21199999999999999</v>
      </c>
      <c r="F140" s="503">
        <v>-0.01</v>
      </c>
      <c r="G140" s="508">
        <v>0</v>
      </c>
      <c r="H140" s="509">
        <v>0</v>
      </c>
      <c r="I140" s="399">
        <v>0</v>
      </c>
      <c r="J140" s="500">
        <v>0</v>
      </c>
      <c r="K140" s="46"/>
      <c r="L140" s="46"/>
      <c r="M140" s="47"/>
      <c r="N140" s="47"/>
      <c r="O140" s="47"/>
      <c r="P140" s="47"/>
      <c r="Q140" s="47"/>
      <c r="R140" s="47"/>
      <c r="S140" s="47"/>
      <c r="T140" s="47"/>
    </row>
    <row r="141" spans="1:20" ht="35.049999999999997" customHeight="1" x14ac:dyDescent="0.3">
      <c r="A141" s="398" t="s">
        <v>703</v>
      </c>
      <c r="B141" s="17"/>
      <c r="C141" s="405">
        <v>0</v>
      </c>
      <c r="D141" s="501">
        <v>-1.7589999999999999</v>
      </c>
      <c r="E141" s="502">
        <v>-0.22800000000000001</v>
      </c>
      <c r="F141" s="503">
        <v>-1.0999999999999999E-2</v>
      </c>
      <c r="G141" s="508">
        <v>0</v>
      </c>
      <c r="H141" s="509">
        <v>0</v>
      </c>
      <c r="I141" s="399">
        <v>0</v>
      </c>
      <c r="J141" s="499">
        <v>6.9000000000000006E-2</v>
      </c>
      <c r="K141" s="46"/>
      <c r="L141" s="46"/>
      <c r="M141" s="47"/>
      <c r="N141" s="47"/>
      <c r="O141" s="47"/>
      <c r="P141" s="47"/>
      <c r="Q141" s="47"/>
      <c r="R141" s="47"/>
      <c r="S141" s="47"/>
      <c r="T141" s="47"/>
    </row>
    <row r="142" spans="1:20" ht="35.049999999999997" customHeight="1" x14ac:dyDescent="0.3">
      <c r="A142" s="398" t="s">
        <v>704</v>
      </c>
      <c r="B142" s="17"/>
      <c r="C142" s="405">
        <v>0</v>
      </c>
      <c r="D142" s="501">
        <v>-1.7849999999999999</v>
      </c>
      <c r="E142" s="502">
        <v>-0.21199999999999999</v>
      </c>
      <c r="F142" s="503">
        <v>-0.01</v>
      </c>
      <c r="G142" s="508">
        <v>0</v>
      </c>
      <c r="H142" s="509">
        <v>0</v>
      </c>
      <c r="I142" s="399">
        <v>0</v>
      </c>
      <c r="J142" s="499">
        <v>6.5000000000000002E-2</v>
      </c>
      <c r="K142" s="46"/>
      <c r="L142" s="46"/>
      <c r="M142" s="47"/>
      <c r="N142" s="47"/>
      <c r="O142" s="47"/>
      <c r="P142" s="47"/>
      <c r="Q142" s="47"/>
      <c r="R142" s="47"/>
      <c r="S142" s="47"/>
      <c r="T142" s="47"/>
    </row>
    <row r="143" spans="1:20" ht="35.049999999999997" customHeight="1" x14ac:dyDescent="0.3">
      <c r="A143" s="398" t="s">
        <v>705</v>
      </c>
      <c r="B143" s="17"/>
      <c r="C143" s="405">
        <v>0</v>
      </c>
      <c r="D143" s="501">
        <v>-2.3290000000000002</v>
      </c>
      <c r="E143" s="502">
        <v>-0.17699999999999999</v>
      </c>
      <c r="F143" s="503">
        <v>-7.0000000000000001E-3</v>
      </c>
      <c r="G143" s="508">
        <v>201.64</v>
      </c>
      <c r="H143" s="509">
        <v>0</v>
      </c>
      <c r="I143" s="399">
        <v>0</v>
      </c>
      <c r="J143" s="499">
        <v>9.6000000000000002E-2</v>
      </c>
      <c r="K143" s="46"/>
      <c r="L143" s="46"/>
      <c r="M143" s="47"/>
      <c r="N143" s="47"/>
      <c r="O143" s="47"/>
      <c r="P143" s="47"/>
      <c r="Q143" s="47"/>
      <c r="R143" s="47"/>
      <c r="S143" s="47"/>
      <c r="T143" s="47"/>
    </row>
    <row r="144" spans="1:20" ht="35.049999999999997" customHeight="1" x14ac:dyDescent="0.3">
      <c r="A144" s="398" t="s">
        <v>886</v>
      </c>
      <c r="B144" s="17"/>
      <c r="C144" s="405" t="s">
        <v>639</v>
      </c>
      <c r="D144" s="501">
        <v>1.196</v>
      </c>
      <c r="E144" s="502">
        <v>0.155</v>
      </c>
      <c r="F144" s="503">
        <v>8.0000000000000002E-3</v>
      </c>
      <c r="G144" s="508">
        <v>1.71</v>
      </c>
      <c r="H144" s="509">
        <v>0</v>
      </c>
      <c r="I144" s="399">
        <v>0</v>
      </c>
      <c r="J144" s="500">
        <v>0</v>
      </c>
      <c r="K144" s="46"/>
      <c r="L144" s="46"/>
      <c r="M144" s="47"/>
      <c r="N144" s="47"/>
      <c r="O144" s="47"/>
      <c r="P144" s="47"/>
      <c r="Q144" s="47"/>
      <c r="R144" s="47"/>
      <c r="S144" s="47"/>
      <c r="T144" s="47"/>
    </row>
    <row r="145" spans="1:20" ht="35.049999999999997" customHeight="1" x14ac:dyDescent="0.3">
      <c r="A145" s="398" t="s">
        <v>887</v>
      </c>
      <c r="B145" s="17"/>
      <c r="C145" s="405">
        <v>2</v>
      </c>
      <c r="D145" s="501">
        <v>1.196</v>
      </c>
      <c r="E145" s="502">
        <v>0.155</v>
      </c>
      <c r="F145" s="503">
        <v>8.0000000000000002E-3</v>
      </c>
      <c r="G145" s="509">
        <v>0</v>
      </c>
      <c r="H145" s="509">
        <v>0</v>
      </c>
      <c r="I145" s="399">
        <v>0</v>
      </c>
      <c r="J145" s="500">
        <v>0</v>
      </c>
      <c r="K145" s="46"/>
      <c r="L145" s="46"/>
      <c r="M145" s="47"/>
      <c r="N145" s="47"/>
      <c r="O145" s="47"/>
      <c r="P145" s="47"/>
      <c r="Q145" s="47"/>
      <c r="R145" s="47"/>
      <c r="S145" s="47"/>
      <c r="T145" s="47"/>
    </row>
    <row r="146" spans="1:20" ht="35.049999999999997" customHeight="1" x14ac:dyDescent="0.3">
      <c r="A146" s="398" t="s">
        <v>888</v>
      </c>
      <c r="B146" s="17"/>
      <c r="C146" s="405" t="s">
        <v>640</v>
      </c>
      <c r="D146" s="501">
        <v>1.054</v>
      </c>
      <c r="E146" s="502">
        <v>0.13700000000000001</v>
      </c>
      <c r="F146" s="503">
        <v>7.0000000000000001E-3</v>
      </c>
      <c r="G146" s="508">
        <v>1.28</v>
      </c>
      <c r="H146" s="509">
        <v>0</v>
      </c>
      <c r="I146" s="399">
        <v>0</v>
      </c>
      <c r="J146" s="500">
        <v>0</v>
      </c>
      <c r="K146" s="46"/>
      <c r="L146" s="46"/>
      <c r="M146" s="47"/>
      <c r="N146" s="47"/>
      <c r="O146" s="47"/>
      <c r="P146" s="47"/>
      <c r="Q146" s="47"/>
      <c r="R146" s="47"/>
      <c r="S146" s="47"/>
      <c r="T146" s="47"/>
    </row>
    <row r="147" spans="1:20" ht="35.049999999999997" customHeight="1" x14ac:dyDescent="0.3">
      <c r="A147" s="398" t="s">
        <v>889</v>
      </c>
      <c r="B147" s="17"/>
      <c r="C147" s="405" t="s">
        <v>640</v>
      </c>
      <c r="D147" s="501">
        <v>1.054</v>
      </c>
      <c r="E147" s="502">
        <v>0.13700000000000001</v>
      </c>
      <c r="F147" s="503">
        <v>7.0000000000000001E-3</v>
      </c>
      <c r="G147" s="508">
        <v>1.72</v>
      </c>
      <c r="H147" s="509">
        <v>0</v>
      </c>
      <c r="I147" s="399">
        <v>0</v>
      </c>
      <c r="J147" s="500">
        <v>0</v>
      </c>
      <c r="K147" s="46"/>
      <c r="L147" s="46"/>
      <c r="M147" s="47"/>
      <c r="N147" s="47"/>
      <c r="O147" s="47"/>
      <c r="P147" s="47"/>
      <c r="Q147" s="47"/>
      <c r="R147" s="47"/>
      <c r="S147" s="47"/>
      <c r="T147" s="47"/>
    </row>
    <row r="148" spans="1:20" ht="35.049999999999997" customHeight="1" x14ac:dyDescent="0.3">
      <c r="A148" s="398" t="s">
        <v>890</v>
      </c>
      <c r="B148" s="17"/>
      <c r="C148" s="405" t="s">
        <v>640</v>
      </c>
      <c r="D148" s="501">
        <v>1.054</v>
      </c>
      <c r="E148" s="502">
        <v>0.13700000000000001</v>
      </c>
      <c r="F148" s="503">
        <v>7.0000000000000001E-3</v>
      </c>
      <c r="G148" s="508">
        <v>2.75</v>
      </c>
      <c r="H148" s="509">
        <v>0</v>
      </c>
      <c r="I148" s="399">
        <v>0</v>
      </c>
      <c r="J148" s="500">
        <v>0</v>
      </c>
      <c r="K148" s="46"/>
      <c r="L148" s="46"/>
      <c r="M148" s="47"/>
      <c r="N148" s="47"/>
      <c r="O148" s="47"/>
      <c r="P148" s="47"/>
      <c r="Q148" s="47"/>
      <c r="R148" s="47"/>
      <c r="S148" s="47"/>
      <c r="T148" s="47"/>
    </row>
    <row r="149" spans="1:20" ht="35.049999999999997" customHeight="1" x14ac:dyDescent="0.3">
      <c r="A149" s="398" t="s">
        <v>891</v>
      </c>
      <c r="B149" s="17"/>
      <c r="C149" s="405" t="s">
        <v>640</v>
      </c>
      <c r="D149" s="501">
        <v>1.054</v>
      </c>
      <c r="E149" s="502">
        <v>0.13700000000000001</v>
      </c>
      <c r="F149" s="503">
        <v>7.0000000000000001E-3</v>
      </c>
      <c r="G149" s="508">
        <v>4.6100000000000003</v>
      </c>
      <c r="H149" s="509">
        <v>0</v>
      </c>
      <c r="I149" s="399">
        <v>0</v>
      </c>
      <c r="J149" s="500">
        <v>0</v>
      </c>
      <c r="K149" s="46"/>
      <c r="L149" s="46"/>
      <c r="M149" s="47"/>
      <c r="N149" s="47"/>
      <c r="O149" s="47"/>
      <c r="P149" s="47"/>
      <c r="Q149" s="47"/>
      <c r="R149" s="47"/>
      <c r="S149" s="47"/>
      <c r="T149" s="47"/>
    </row>
    <row r="150" spans="1:20" ht="35.049999999999997" customHeight="1" x14ac:dyDescent="0.3">
      <c r="A150" s="398" t="s">
        <v>892</v>
      </c>
      <c r="B150" s="17"/>
      <c r="C150" s="405" t="s">
        <v>640</v>
      </c>
      <c r="D150" s="501">
        <v>1.054</v>
      </c>
      <c r="E150" s="502">
        <v>0.13700000000000001</v>
      </c>
      <c r="F150" s="503">
        <v>7.0000000000000001E-3</v>
      </c>
      <c r="G150" s="508">
        <v>10.35</v>
      </c>
      <c r="H150" s="509">
        <v>0</v>
      </c>
      <c r="I150" s="399">
        <v>0</v>
      </c>
      <c r="J150" s="500">
        <v>0</v>
      </c>
      <c r="K150" s="46"/>
      <c r="L150" s="46"/>
      <c r="M150" s="47"/>
      <c r="N150" s="47"/>
      <c r="O150" s="47"/>
      <c r="P150" s="47"/>
      <c r="Q150" s="47"/>
      <c r="R150" s="47"/>
      <c r="S150" s="47"/>
      <c r="T150" s="47"/>
    </row>
    <row r="151" spans="1:20" ht="35.049999999999997" customHeight="1" x14ac:dyDescent="0.3">
      <c r="A151" s="398" t="s">
        <v>592</v>
      </c>
      <c r="B151" s="17"/>
      <c r="C151" s="405">
        <v>4</v>
      </c>
      <c r="D151" s="501">
        <v>1.054</v>
      </c>
      <c r="E151" s="502">
        <v>0.13700000000000001</v>
      </c>
      <c r="F151" s="503">
        <v>7.0000000000000001E-3</v>
      </c>
      <c r="G151" s="509">
        <v>0</v>
      </c>
      <c r="H151" s="509">
        <v>0</v>
      </c>
      <c r="I151" s="399">
        <v>0</v>
      </c>
      <c r="J151" s="500">
        <v>0</v>
      </c>
      <c r="K151" s="46"/>
      <c r="L151" s="46"/>
      <c r="M151" s="47"/>
      <c r="N151" s="47"/>
      <c r="O151" s="47"/>
      <c r="P151" s="47"/>
      <c r="Q151" s="47"/>
      <c r="R151" s="47"/>
      <c r="S151" s="47"/>
      <c r="T151" s="47"/>
    </row>
    <row r="152" spans="1:20" ht="35.049999999999997" customHeight="1" x14ac:dyDescent="0.3">
      <c r="A152" s="398" t="s">
        <v>893</v>
      </c>
      <c r="B152" s="17"/>
      <c r="C152" s="405">
        <v>0</v>
      </c>
      <c r="D152" s="501">
        <v>0.82299999999999995</v>
      </c>
      <c r="E152" s="502">
        <v>9.1999999999999998E-2</v>
      </c>
      <c r="F152" s="503">
        <v>4.0000000000000001E-3</v>
      </c>
      <c r="G152" s="508">
        <v>2.54</v>
      </c>
      <c r="H152" s="508">
        <v>0.51</v>
      </c>
      <c r="I152" s="400">
        <v>0.95</v>
      </c>
      <c r="J152" s="499">
        <v>3.1E-2</v>
      </c>
      <c r="K152" s="46"/>
      <c r="L152" s="46"/>
      <c r="M152" s="47"/>
      <c r="N152" s="47"/>
      <c r="O152" s="47"/>
      <c r="P152" s="47"/>
      <c r="Q152" s="47"/>
      <c r="R152" s="47"/>
      <c r="S152" s="47"/>
      <c r="T152" s="47"/>
    </row>
    <row r="153" spans="1:20" ht="35.049999999999997" customHeight="1" x14ac:dyDescent="0.3">
      <c r="A153" s="398" t="s">
        <v>894</v>
      </c>
      <c r="B153" s="17"/>
      <c r="C153" s="405">
        <v>0</v>
      </c>
      <c r="D153" s="501">
        <v>0.82299999999999995</v>
      </c>
      <c r="E153" s="502">
        <v>9.1999999999999998E-2</v>
      </c>
      <c r="F153" s="503">
        <v>4.0000000000000001E-3</v>
      </c>
      <c r="G153" s="508">
        <v>19.2</v>
      </c>
      <c r="H153" s="508">
        <v>0.51</v>
      </c>
      <c r="I153" s="400">
        <v>0.95</v>
      </c>
      <c r="J153" s="499">
        <v>3.1E-2</v>
      </c>
      <c r="K153" s="46"/>
      <c r="L153" s="46"/>
      <c r="M153" s="47"/>
      <c r="N153" s="47"/>
      <c r="O153" s="47"/>
      <c r="P153" s="47"/>
      <c r="Q153" s="47"/>
      <c r="R153" s="47"/>
      <c r="S153" s="47"/>
      <c r="T153" s="47"/>
    </row>
    <row r="154" spans="1:20" ht="35.049999999999997" customHeight="1" x14ac:dyDescent="0.3">
      <c r="A154" s="398" t="s">
        <v>895</v>
      </c>
      <c r="B154" s="17"/>
      <c r="C154" s="405">
        <v>0</v>
      </c>
      <c r="D154" s="501">
        <v>0.82299999999999995</v>
      </c>
      <c r="E154" s="502">
        <v>9.1999999999999998E-2</v>
      </c>
      <c r="F154" s="503">
        <v>4.0000000000000001E-3</v>
      </c>
      <c r="G154" s="508">
        <v>33.5</v>
      </c>
      <c r="H154" s="508">
        <v>0.51</v>
      </c>
      <c r="I154" s="400">
        <v>0.95</v>
      </c>
      <c r="J154" s="499">
        <v>3.1E-2</v>
      </c>
      <c r="K154" s="46"/>
      <c r="L154" s="46"/>
      <c r="M154" s="47"/>
      <c r="N154" s="47"/>
      <c r="O154" s="47"/>
      <c r="P154" s="47"/>
      <c r="Q154" s="47"/>
      <c r="R154" s="47"/>
      <c r="S154" s="47"/>
      <c r="T154" s="47"/>
    </row>
    <row r="155" spans="1:20" ht="35.049999999999997" customHeight="1" x14ac:dyDescent="0.3">
      <c r="A155" s="398" t="s">
        <v>896</v>
      </c>
      <c r="B155" s="17"/>
      <c r="C155" s="405">
        <v>0</v>
      </c>
      <c r="D155" s="501">
        <v>0.82299999999999995</v>
      </c>
      <c r="E155" s="502">
        <v>9.1999999999999998E-2</v>
      </c>
      <c r="F155" s="503">
        <v>4.0000000000000001E-3</v>
      </c>
      <c r="G155" s="508">
        <v>50.46</v>
      </c>
      <c r="H155" s="508">
        <v>0.51</v>
      </c>
      <c r="I155" s="400">
        <v>0.95</v>
      </c>
      <c r="J155" s="499">
        <v>3.1E-2</v>
      </c>
      <c r="K155" s="46"/>
      <c r="L155" s="46"/>
      <c r="M155" s="47"/>
      <c r="N155" s="47"/>
      <c r="O155" s="47"/>
      <c r="P155" s="47"/>
      <c r="Q155" s="47"/>
      <c r="R155" s="47"/>
      <c r="S155" s="47"/>
      <c r="T155" s="47"/>
    </row>
    <row r="156" spans="1:20" ht="35.049999999999997" customHeight="1" x14ac:dyDescent="0.3">
      <c r="A156" s="398" t="s">
        <v>897</v>
      </c>
      <c r="B156" s="17"/>
      <c r="C156" s="405">
        <v>0</v>
      </c>
      <c r="D156" s="501">
        <v>0.82299999999999995</v>
      </c>
      <c r="E156" s="502">
        <v>9.1999999999999998E-2</v>
      </c>
      <c r="F156" s="503">
        <v>4.0000000000000001E-3</v>
      </c>
      <c r="G156" s="508">
        <v>125.07</v>
      </c>
      <c r="H156" s="508">
        <v>0.51</v>
      </c>
      <c r="I156" s="400">
        <v>0.95</v>
      </c>
      <c r="J156" s="499">
        <v>3.1E-2</v>
      </c>
      <c r="K156" s="46"/>
      <c r="L156" s="46"/>
      <c r="M156" s="47"/>
      <c r="N156" s="47"/>
      <c r="O156" s="47"/>
      <c r="P156" s="47"/>
      <c r="Q156" s="47"/>
      <c r="R156" s="47"/>
      <c r="S156" s="47"/>
      <c r="T156" s="47"/>
    </row>
    <row r="157" spans="1:20" ht="35.049999999999997" customHeight="1" x14ac:dyDescent="0.3">
      <c r="A157" s="398" t="s">
        <v>898</v>
      </c>
      <c r="B157" s="17"/>
      <c r="C157" s="405">
        <v>0</v>
      </c>
      <c r="D157" s="501">
        <v>0.85</v>
      </c>
      <c r="E157" s="502">
        <v>6.5000000000000002E-2</v>
      </c>
      <c r="F157" s="503">
        <v>3.0000000000000001E-3</v>
      </c>
      <c r="G157" s="508">
        <v>8.89</v>
      </c>
      <c r="H157" s="508">
        <v>1.07</v>
      </c>
      <c r="I157" s="400">
        <v>1.4</v>
      </c>
      <c r="J157" s="499">
        <v>2.7E-2</v>
      </c>
      <c r="K157" s="46"/>
      <c r="L157" s="46"/>
      <c r="M157" s="47"/>
      <c r="N157" s="47"/>
      <c r="O157" s="47"/>
      <c r="P157" s="47"/>
      <c r="Q157" s="47"/>
      <c r="R157" s="47"/>
      <c r="S157" s="47"/>
      <c r="T157" s="47"/>
    </row>
    <row r="158" spans="1:20" ht="35.049999999999997" customHeight="1" x14ac:dyDescent="0.3">
      <c r="A158" s="398" t="s">
        <v>899</v>
      </c>
      <c r="B158" s="17"/>
      <c r="C158" s="405">
        <v>0</v>
      </c>
      <c r="D158" s="501">
        <v>0.85</v>
      </c>
      <c r="E158" s="502">
        <v>6.5000000000000002E-2</v>
      </c>
      <c r="F158" s="503">
        <v>3.0000000000000001E-3</v>
      </c>
      <c r="G158" s="508">
        <v>34.96</v>
      </c>
      <c r="H158" s="508">
        <v>1.07</v>
      </c>
      <c r="I158" s="400">
        <v>1.4</v>
      </c>
      <c r="J158" s="499">
        <v>2.7E-2</v>
      </c>
      <c r="K158" s="46"/>
      <c r="L158" s="46"/>
      <c r="M158" s="47"/>
      <c r="N158" s="47"/>
      <c r="O158" s="47"/>
      <c r="P158" s="47"/>
      <c r="Q158" s="47"/>
      <c r="R158" s="47"/>
      <c r="S158" s="47"/>
      <c r="T158" s="47"/>
    </row>
    <row r="159" spans="1:20" ht="35.049999999999997" customHeight="1" x14ac:dyDescent="0.3">
      <c r="A159" s="398" t="s">
        <v>900</v>
      </c>
      <c r="B159" s="17"/>
      <c r="C159" s="405">
        <v>0</v>
      </c>
      <c r="D159" s="501">
        <v>0.85</v>
      </c>
      <c r="E159" s="502">
        <v>6.5000000000000002E-2</v>
      </c>
      <c r="F159" s="503">
        <v>3.0000000000000001E-3</v>
      </c>
      <c r="G159" s="508">
        <v>57.34</v>
      </c>
      <c r="H159" s="508">
        <v>1.07</v>
      </c>
      <c r="I159" s="400">
        <v>1.4</v>
      </c>
      <c r="J159" s="499">
        <v>2.7E-2</v>
      </c>
      <c r="K159" s="46"/>
      <c r="L159" s="46"/>
      <c r="M159" s="47"/>
      <c r="N159" s="47"/>
      <c r="O159" s="47"/>
      <c r="P159" s="47"/>
      <c r="Q159" s="47"/>
      <c r="R159" s="47"/>
      <c r="S159" s="47"/>
      <c r="T159" s="47"/>
    </row>
    <row r="160" spans="1:20" ht="35.049999999999997" customHeight="1" x14ac:dyDescent="0.3">
      <c r="A160" s="398" t="s">
        <v>901</v>
      </c>
      <c r="B160" s="17"/>
      <c r="C160" s="405">
        <v>0</v>
      </c>
      <c r="D160" s="501">
        <v>0.85</v>
      </c>
      <c r="E160" s="502">
        <v>6.5000000000000002E-2</v>
      </c>
      <c r="F160" s="503">
        <v>3.0000000000000001E-3</v>
      </c>
      <c r="G160" s="508">
        <v>83.87</v>
      </c>
      <c r="H160" s="508">
        <v>1.07</v>
      </c>
      <c r="I160" s="400">
        <v>1.4</v>
      </c>
      <c r="J160" s="499">
        <v>2.7E-2</v>
      </c>
      <c r="K160" s="46"/>
      <c r="L160" s="46"/>
      <c r="M160" s="47"/>
      <c r="N160" s="47"/>
      <c r="O160" s="47"/>
      <c r="P160" s="47"/>
      <c r="Q160" s="47"/>
      <c r="R160" s="47"/>
      <c r="S160" s="47"/>
      <c r="T160" s="47"/>
    </row>
    <row r="161" spans="1:20" ht="35.049999999999997" customHeight="1" x14ac:dyDescent="0.3">
      <c r="A161" s="398" t="s">
        <v>902</v>
      </c>
      <c r="B161" s="17"/>
      <c r="C161" s="405">
        <v>0</v>
      </c>
      <c r="D161" s="501">
        <v>0.85</v>
      </c>
      <c r="E161" s="502">
        <v>6.5000000000000002E-2</v>
      </c>
      <c r="F161" s="503">
        <v>3.0000000000000001E-3</v>
      </c>
      <c r="G161" s="508">
        <v>200.64</v>
      </c>
      <c r="H161" s="508">
        <v>1.07</v>
      </c>
      <c r="I161" s="400">
        <v>1.4</v>
      </c>
      <c r="J161" s="499">
        <v>2.7E-2</v>
      </c>
      <c r="K161" s="46"/>
      <c r="L161" s="46"/>
      <c r="M161" s="47"/>
      <c r="N161" s="47"/>
      <c r="O161" s="47"/>
      <c r="P161" s="47"/>
      <c r="Q161" s="47"/>
      <c r="R161" s="47"/>
      <c r="S161" s="47"/>
      <c r="T161" s="47"/>
    </row>
    <row r="162" spans="1:20" ht="35.049999999999997" customHeight="1" x14ac:dyDescent="0.3">
      <c r="A162" s="398" t="s">
        <v>903</v>
      </c>
      <c r="B162" s="17"/>
      <c r="C162" s="405">
        <v>0</v>
      </c>
      <c r="D162" s="501">
        <v>0.78600000000000003</v>
      </c>
      <c r="E162" s="502">
        <v>5.2999999999999999E-2</v>
      </c>
      <c r="F162" s="503">
        <v>2E-3</v>
      </c>
      <c r="G162" s="508">
        <v>43.21</v>
      </c>
      <c r="H162" s="508">
        <v>1.45</v>
      </c>
      <c r="I162" s="400">
        <v>1.75</v>
      </c>
      <c r="J162" s="499">
        <v>2.3E-2</v>
      </c>
      <c r="K162" s="46"/>
      <c r="L162" s="46"/>
      <c r="M162" s="47"/>
      <c r="N162" s="47"/>
      <c r="O162" s="47"/>
      <c r="P162" s="47"/>
      <c r="Q162" s="47"/>
      <c r="R162" s="47"/>
      <c r="S162" s="47"/>
      <c r="T162" s="47"/>
    </row>
    <row r="163" spans="1:20" ht="35.049999999999997" customHeight="1" x14ac:dyDescent="0.3">
      <c r="A163" s="398" t="s">
        <v>904</v>
      </c>
      <c r="B163" s="17"/>
      <c r="C163" s="405">
        <v>0</v>
      </c>
      <c r="D163" s="501">
        <v>0.78600000000000003</v>
      </c>
      <c r="E163" s="502">
        <v>5.2999999999999999E-2</v>
      </c>
      <c r="F163" s="503">
        <v>2E-3</v>
      </c>
      <c r="G163" s="508">
        <v>224.68</v>
      </c>
      <c r="H163" s="508">
        <v>1.45</v>
      </c>
      <c r="I163" s="400">
        <v>1.75</v>
      </c>
      <c r="J163" s="499">
        <v>2.3E-2</v>
      </c>
      <c r="K163" s="46"/>
      <c r="L163" s="46"/>
      <c r="M163" s="47"/>
      <c r="N163" s="47"/>
      <c r="O163" s="47"/>
      <c r="P163" s="47"/>
      <c r="Q163" s="47"/>
      <c r="R163" s="47"/>
      <c r="S163" s="47"/>
      <c r="T163" s="47"/>
    </row>
    <row r="164" spans="1:20" ht="35.049999999999997" customHeight="1" x14ac:dyDescent="0.3">
      <c r="A164" s="398" t="s">
        <v>905</v>
      </c>
      <c r="B164" s="17"/>
      <c r="C164" s="405">
        <v>0</v>
      </c>
      <c r="D164" s="501">
        <v>0.78600000000000003</v>
      </c>
      <c r="E164" s="502">
        <v>5.2999999999999999E-2</v>
      </c>
      <c r="F164" s="503">
        <v>2E-3</v>
      </c>
      <c r="G164" s="508">
        <v>572.66999999999996</v>
      </c>
      <c r="H164" s="508">
        <v>1.45</v>
      </c>
      <c r="I164" s="400">
        <v>1.75</v>
      </c>
      <c r="J164" s="499">
        <v>2.3E-2</v>
      </c>
      <c r="K164" s="46"/>
      <c r="L164" s="46"/>
      <c r="M164" s="47"/>
      <c r="N164" s="47"/>
      <c r="O164" s="47"/>
      <c r="P164" s="47"/>
      <c r="Q164" s="47"/>
      <c r="R164" s="47"/>
      <c r="S164" s="47"/>
      <c r="T164" s="47"/>
    </row>
    <row r="165" spans="1:20" ht="35.049999999999997" customHeight="1" x14ac:dyDescent="0.3">
      <c r="A165" s="398" t="s">
        <v>906</v>
      </c>
      <c r="B165" s="17"/>
      <c r="C165" s="405">
        <v>0</v>
      </c>
      <c r="D165" s="501">
        <v>0.78600000000000003</v>
      </c>
      <c r="E165" s="502">
        <v>5.2999999999999999E-2</v>
      </c>
      <c r="F165" s="503">
        <v>2E-3</v>
      </c>
      <c r="G165" s="508">
        <v>1015.02</v>
      </c>
      <c r="H165" s="508">
        <v>1.45</v>
      </c>
      <c r="I165" s="400">
        <v>1.75</v>
      </c>
      <c r="J165" s="499">
        <v>2.3E-2</v>
      </c>
      <c r="K165" s="46"/>
      <c r="L165" s="46"/>
      <c r="M165" s="47"/>
      <c r="N165" s="47"/>
      <c r="O165" s="47"/>
      <c r="P165" s="47"/>
      <c r="Q165" s="47"/>
      <c r="R165" s="47"/>
      <c r="S165" s="47"/>
      <c r="T165" s="47"/>
    </row>
    <row r="166" spans="1:20" ht="35.049999999999997" customHeight="1" x14ac:dyDescent="0.3">
      <c r="A166" s="398" t="s">
        <v>907</v>
      </c>
      <c r="B166" s="17"/>
      <c r="C166" s="405">
        <v>0</v>
      </c>
      <c r="D166" s="501">
        <v>0.78600000000000003</v>
      </c>
      <c r="E166" s="502">
        <v>5.2999999999999999E-2</v>
      </c>
      <c r="F166" s="503">
        <v>2E-3</v>
      </c>
      <c r="G166" s="508">
        <v>2596.29</v>
      </c>
      <c r="H166" s="508">
        <v>1.45</v>
      </c>
      <c r="I166" s="400">
        <v>1.75</v>
      </c>
      <c r="J166" s="499">
        <v>2.3E-2</v>
      </c>
      <c r="K166" s="46"/>
      <c r="L166" s="46"/>
      <c r="M166" s="47"/>
      <c r="N166" s="47"/>
      <c r="O166" s="47"/>
      <c r="P166" s="47"/>
      <c r="Q166" s="47"/>
      <c r="R166" s="47"/>
      <c r="S166" s="47"/>
      <c r="T166" s="47"/>
    </row>
    <row r="167" spans="1:20" ht="35.049999999999997" customHeight="1" x14ac:dyDescent="0.3">
      <c r="A167" s="398" t="s">
        <v>593</v>
      </c>
      <c r="B167" s="17"/>
      <c r="C167" s="405" t="s">
        <v>616</v>
      </c>
      <c r="D167" s="504">
        <v>2.7309999999999999</v>
      </c>
      <c r="E167" s="505">
        <v>0.498</v>
      </c>
      <c r="F167" s="503">
        <v>0.38100000000000001</v>
      </c>
      <c r="G167" s="509">
        <v>0</v>
      </c>
      <c r="H167" s="509">
        <v>0</v>
      </c>
      <c r="I167" s="399">
        <v>0</v>
      </c>
      <c r="J167" s="500">
        <v>0</v>
      </c>
      <c r="K167" s="46"/>
      <c r="L167" s="46"/>
      <c r="M167" s="47"/>
      <c r="N167" s="47"/>
      <c r="O167" s="47"/>
      <c r="P167" s="47"/>
      <c r="Q167" s="47"/>
      <c r="R167" s="47"/>
      <c r="S167" s="47"/>
      <c r="T167" s="47"/>
    </row>
    <row r="168" spans="1:20" ht="35.049999999999997" customHeight="1" x14ac:dyDescent="0.3">
      <c r="A168" s="398" t="s">
        <v>706</v>
      </c>
      <c r="B168" s="17"/>
      <c r="C168" s="405" t="s">
        <v>621</v>
      </c>
      <c r="D168" s="501">
        <v>-1.27</v>
      </c>
      <c r="E168" s="502">
        <v>-0.16500000000000001</v>
      </c>
      <c r="F168" s="503">
        <v>-8.0000000000000002E-3</v>
      </c>
      <c r="G168" s="508">
        <v>0</v>
      </c>
      <c r="H168" s="509">
        <v>0</v>
      </c>
      <c r="I168" s="399">
        <v>0</v>
      </c>
      <c r="J168" s="500">
        <v>0</v>
      </c>
      <c r="K168" s="46"/>
      <c r="L168" s="46"/>
      <c r="M168" s="47"/>
      <c r="N168" s="47"/>
      <c r="O168" s="47"/>
      <c r="P168" s="47"/>
      <c r="Q168" s="47"/>
      <c r="R168" s="47"/>
      <c r="S168" s="47"/>
      <c r="T168" s="47"/>
    </row>
    <row r="169" spans="1:20" ht="35.049999999999997" customHeight="1" x14ac:dyDescent="0.3">
      <c r="A169" s="398" t="s">
        <v>707</v>
      </c>
      <c r="B169" s="17"/>
      <c r="C169" s="405" t="s">
        <v>621</v>
      </c>
      <c r="D169" s="501">
        <v>-1.288</v>
      </c>
      <c r="E169" s="502">
        <v>-0.153</v>
      </c>
      <c r="F169" s="503">
        <v>-7.0000000000000001E-3</v>
      </c>
      <c r="G169" s="508">
        <v>0</v>
      </c>
      <c r="H169" s="509">
        <v>0</v>
      </c>
      <c r="I169" s="399">
        <v>0</v>
      </c>
      <c r="J169" s="500">
        <v>0</v>
      </c>
      <c r="K169" s="46"/>
      <c r="L169" s="46"/>
      <c r="M169" s="47"/>
      <c r="N169" s="47"/>
      <c r="O169" s="47"/>
      <c r="P169" s="47"/>
      <c r="Q169" s="47"/>
      <c r="R169" s="47"/>
      <c r="S169" s="47"/>
      <c r="T169" s="47"/>
    </row>
    <row r="170" spans="1:20" ht="35.049999999999997" customHeight="1" x14ac:dyDescent="0.3">
      <c r="A170" s="398" t="s">
        <v>708</v>
      </c>
      <c r="B170" s="17"/>
      <c r="C170" s="405">
        <v>0</v>
      </c>
      <c r="D170" s="501">
        <v>-1.27</v>
      </c>
      <c r="E170" s="502">
        <v>-0.16500000000000001</v>
      </c>
      <c r="F170" s="503">
        <v>-8.0000000000000002E-3</v>
      </c>
      <c r="G170" s="508">
        <v>0</v>
      </c>
      <c r="H170" s="509">
        <v>0</v>
      </c>
      <c r="I170" s="399">
        <v>0</v>
      </c>
      <c r="J170" s="499">
        <v>0.05</v>
      </c>
      <c r="K170" s="46"/>
      <c r="L170" s="46"/>
      <c r="M170" s="47"/>
      <c r="N170" s="47"/>
      <c r="O170" s="47"/>
      <c r="P170" s="47"/>
      <c r="Q170" s="47"/>
      <c r="R170" s="47"/>
      <c r="S170" s="47"/>
      <c r="T170" s="47"/>
    </row>
    <row r="171" spans="1:20" ht="35.049999999999997" customHeight="1" x14ac:dyDescent="0.3">
      <c r="A171" s="398" t="s">
        <v>709</v>
      </c>
      <c r="B171" s="17"/>
      <c r="C171" s="405">
        <v>0</v>
      </c>
      <c r="D171" s="501">
        <v>-1.288</v>
      </c>
      <c r="E171" s="502">
        <v>-0.153</v>
      </c>
      <c r="F171" s="503">
        <v>-7.0000000000000001E-3</v>
      </c>
      <c r="G171" s="508">
        <v>0</v>
      </c>
      <c r="H171" s="509">
        <v>0</v>
      </c>
      <c r="I171" s="399">
        <v>0</v>
      </c>
      <c r="J171" s="499">
        <v>4.7E-2</v>
      </c>
      <c r="K171" s="46"/>
      <c r="L171" s="46"/>
      <c r="M171" s="47"/>
      <c r="N171" s="47"/>
      <c r="O171" s="47"/>
      <c r="P171" s="47"/>
      <c r="Q171" s="47"/>
      <c r="R171" s="47"/>
      <c r="S171" s="47"/>
      <c r="T171" s="47"/>
    </row>
    <row r="172" spans="1:20" ht="35.049999999999997" customHeight="1" x14ac:dyDescent="0.3">
      <c r="A172" s="398" t="s">
        <v>710</v>
      </c>
      <c r="B172" s="17"/>
      <c r="C172" s="405">
        <v>0</v>
      </c>
      <c r="D172" s="501">
        <v>-1.681</v>
      </c>
      <c r="E172" s="502">
        <v>-0.128</v>
      </c>
      <c r="F172" s="503">
        <v>-5.0000000000000001E-3</v>
      </c>
      <c r="G172" s="508">
        <v>145.55000000000001</v>
      </c>
      <c r="H172" s="509">
        <v>0</v>
      </c>
      <c r="I172" s="399">
        <v>0</v>
      </c>
      <c r="J172" s="499">
        <v>6.9000000000000006E-2</v>
      </c>
      <c r="K172" s="46"/>
      <c r="L172" s="46"/>
      <c r="M172" s="47"/>
      <c r="N172" s="47"/>
      <c r="O172" s="47"/>
      <c r="P172" s="47"/>
      <c r="Q172" s="47"/>
      <c r="R172" s="47"/>
      <c r="S172" s="47"/>
      <c r="T172" s="47"/>
    </row>
    <row r="173" spans="1:20" ht="35.049999999999997" customHeight="1" x14ac:dyDescent="0.3">
      <c r="A173" s="398" t="s">
        <v>908</v>
      </c>
      <c r="B173" s="17"/>
      <c r="C173" s="405" t="s">
        <v>639</v>
      </c>
      <c r="D173" s="501">
        <v>0.33100000000000002</v>
      </c>
      <c r="E173" s="502">
        <v>4.2999999999999997E-2</v>
      </c>
      <c r="F173" s="503">
        <v>2E-3</v>
      </c>
      <c r="G173" s="508">
        <v>0.67</v>
      </c>
      <c r="H173" s="509">
        <v>0</v>
      </c>
      <c r="I173" s="399">
        <v>0</v>
      </c>
      <c r="J173" s="500">
        <v>0</v>
      </c>
      <c r="K173" s="46"/>
      <c r="L173" s="46"/>
      <c r="M173" s="47"/>
      <c r="N173" s="47"/>
      <c r="O173" s="47"/>
      <c r="P173" s="47"/>
      <c r="Q173" s="47"/>
      <c r="R173" s="47"/>
      <c r="S173" s="47"/>
      <c r="T173" s="47"/>
    </row>
    <row r="174" spans="1:20" ht="35.049999999999997" customHeight="1" x14ac:dyDescent="0.3">
      <c r="A174" s="398" t="s">
        <v>909</v>
      </c>
      <c r="B174" s="17"/>
      <c r="C174" s="405">
        <v>2</v>
      </c>
      <c r="D174" s="501">
        <v>0.33100000000000002</v>
      </c>
      <c r="E174" s="502">
        <v>4.2999999999999997E-2</v>
      </c>
      <c r="F174" s="503">
        <v>2E-3</v>
      </c>
      <c r="G174" s="509">
        <v>0</v>
      </c>
      <c r="H174" s="509">
        <v>0</v>
      </c>
      <c r="I174" s="399">
        <v>0</v>
      </c>
      <c r="J174" s="500">
        <v>0</v>
      </c>
      <c r="K174" s="46"/>
      <c r="L174" s="46"/>
      <c r="M174" s="47"/>
      <c r="N174" s="47"/>
      <c r="O174" s="47"/>
      <c r="P174" s="47"/>
      <c r="Q174" s="47"/>
      <c r="R174" s="47"/>
      <c r="S174" s="47"/>
      <c r="T174" s="47"/>
    </row>
    <row r="175" spans="1:20" ht="35.049999999999997" customHeight="1" x14ac:dyDescent="0.3">
      <c r="A175" s="398" t="s">
        <v>910</v>
      </c>
      <c r="B175" s="17"/>
      <c r="C175" s="405" t="s">
        <v>640</v>
      </c>
      <c r="D175" s="501">
        <v>0.29199999999999998</v>
      </c>
      <c r="E175" s="502">
        <v>3.7999999999999999E-2</v>
      </c>
      <c r="F175" s="503">
        <v>2E-3</v>
      </c>
      <c r="G175" s="508">
        <v>0.47</v>
      </c>
      <c r="H175" s="509">
        <v>0</v>
      </c>
      <c r="I175" s="399">
        <v>0</v>
      </c>
      <c r="J175" s="500">
        <v>0</v>
      </c>
      <c r="K175" s="46"/>
      <c r="L175" s="46"/>
      <c r="M175" s="47"/>
      <c r="N175" s="47"/>
      <c r="O175" s="47"/>
      <c r="P175" s="47"/>
      <c r="Q175" s="47"/>
      <c r="R175" s="47"/>
      <c r="S175" s="47"/>
      <c r="T175" s="47"/>
    </row>
    <row r="176" spans="1:20" ht="35.049999999999997" customHeight="1" x14ac:dyDescent="0.3">
      <c r="A176" s="398" t="s">
        <v>911</v>
      </c>
      <c r="B176" s="17"/>
      <c r="C176" s="405" t="s">
        <v>640</v>
      </c>
      <c r="D176" s="501">
        <v>0.29199999999999998</v>
      </c>
      <c r="E176" s="502">
        <v>3.7999999999999999E-2</v>
      </c>
      <c r="F176" s="503">
        <v>2E-3</v>
      </c>
      <c r="G176" s="508">
        <v>0.6</v>
      </c>
      <c r="H176" s="509">
        <v>0</v>
      </c>
      <c r="I176" s="399">
        <v>0</v>
      </c>
      <c r="J176" s="500">
        <v>0</v>
      </c>
      <c r="K176" s="46"/>
      <c r="L176" s="46"/>
      <c r="M176" s="47"/>
      <c r="N176" s="47"/>
      <c r="O176" s="47"/>
      <c r="P176" s="47"/>
      <c r="Q176" s="47"/>
      <c r="R176" s="47"/>
      <c r="S176" s="47"/>
      <c r="T176" s="47"/>
    </row>
    <row r="177" spans="1:20" ht="35.049999999999997" customHeight="1" x14ac:dyDescent="0.3">
      <c r="A177" s="398" t="s">
        <v>912</v>
      </c>
      <c r="B177" s="17"/>
      <c r="C177" s="405" t="s">
        <v>640</v>
      </c>
      <c r="D177" s="501">
        <v>0.29199999999999998</v>
      </c>
      <c r="E177" s="502">
        <v>3.7999999999999999E-2</v>
      </c>
      <c r="F177" s="503">
        <v>2E-3</v>
      </c>
      <c r="G177" s="508">
        <v>0.88</v>
      </c>
      <c r="H177" s="509">
        <v>0</v>
      </c>
      <c r="I177" s="399">
        <v>0</v>
      </c>
      <c r="J177" s="500">
        <v>0</v>
      </c>
      <c r="K177" s="46"/>
      <c r="L177" s="46"/>
      <c r="M177" s="47"/>
      <c r="N177" s="47"/>
      <c r="O177" s="47"/>
      <c r="P177" s="47"/>
      <c r="Q177" s="47"/>
      <c r="R177" s="47"/>
      <c r="S177" s="47"/>
      <c r="T177" s="47"/>
    </row>
    <row r="178" spans="1:20" ht="35.049999999999997" customHeight="1" x14ac:dyDescent="0.3">
      <c r="A178" s="398" t="s">
        <v>913</v>
      </c>
      <c r="B178" s="17"/>
      <c r="C178" s="405" t="s">
        <v>640</v>
      </c>
      <c r="D178" s="501">
        <v>0.29199999999999998</v>
      </c>
      <c r="E178" s="502">
        <v>3.7999999999999999E-2</v>
      </c>
      <c r="F178" s="503">
        <v>2E-3</v>
      </c>
      <c r="G178" s="508">
        <v>1.4</v>
      </c>
      <c r="H178" s="509">
        <v>0</v>
      </c>
      <c r="I178" s="399">
        <v>0</v>
      </c>
      <c r="J178" s="500">
        <v>0</v>
      </c>
      <c r="K178" s="46"/>
      <c r="L178" s="46"/>
      <c r="M178" s="47"/>
      <c r="N178" s="47"/>
      <c r="O178" s="47"/>
      <c r="P178" s="47"/>
      <c r="Q178" s="47"/>
      <c r="R178" s="47"/>
      <c r="S178" s="47"/>
      <c r="T178" s="47"/>
    </row>
    <row r="179" spans="1:20" ht="35.049999999999997" customHeight="1" x14ac:dyDescent="0.3">
      <c r="A179" s="398" t="s">
        <v>914</v>
      </c>
      <c r="B179" s="17"/>
      <c r="C179" s="405" t="s">
        <v>640</v>
      </c>
      <c r="D179" s="501">
        <v>0.29199999999999998</v>
      </c>
      <c r="E179" s="502">
        <v>3.7999999999999999E-2</v>
      </c>
      <c r="F179" s="503">
        <v>2E-3</v>
      </c>
      <c r="G179" s="508">
        <v>2.99</v>
      </c>
      <c r="H179" s="509">
        <v>0</v>
      </c>
      <c r="I179" s="399">
        <v>0</v>
      </c>
      <c r="J179" s="500">
        <v>0</v>
      </c>
      <c r="K179" s="46"/>
      <c r="L179" s="46"/>
      <c r="M179" s="47"/>
      <c r="N179" s="47"/>
      <c r="O179" s="47"/>
      <c r="P179" s="47"/>
      <c r="Q179" s="47"/>
      <c r="R179" s="47"/>
      <c r="S179" s="47"/>
      <c r="T179" s="47"/>
    </row>
    <row r="180" spans="1:20" ht="35.049999999999997" customHeight="1" x14ac:dyDescent="0.3">
      <c r="A180" s="398" t="s">
        <v>594</v>
      </c>
      <c r="B180" s="17"/>
      <c r="C180" s="405">
        <v>4</v>
      </c>
      <c r="D180" s="501">
        <v>0.29199999999999998</v>
      </c>
      <c r="E180" s="502">
        <v>3.7999999999999999E-2</v>
      </c>
      <c r="F180" s="503">
        <v>2E-3</v>
      </c>
      <c r="G180" s="509">
        <v>0</v>
      </c>
      <c r="H180" s="509">
        <v>0</v>
      </c>
      <c r="I180" s="399">
        <v>0</v>
      </c>
      <c r="J180" s="500">
        <v>0</v>
      </c>
      <c r="K180" s="46"/>
      <c r="L180" s="46"/>
      <c r="M180" s="47"/>
      <c r="N180" s="47"/>
      <c r="O180" s="47"/>
      <c r="P180" s="47"/>
      <c r="Q180" s="47"/>
      <c r="R180" s="47"/>
      <c r="S180" s="47"/>
      <c r="T180" s="47"/>
    </row>
    <row r="181" spans="1:20" ht="35.049999999999997" customHeight="1" x14ac:dyDescent="0.3">
      <c r="A181" s="398" t="s">
        <v>915</v>
      </c>
      <c r="B181" s="17"/>
      <c r="C181" s="405">
        <v>0</v>
      </c>
      <c r="D181" s="501">
        <v>0.22800000000000001</v>
      </c>
      <c r="E181" s="502">
        <v>2.5000000000000001E-2</v>
      </c>
      <c r="F181" s="503">
        <v>1E-3</v>
      </c>
      <c r="G181" s="508">
        <v>0.82</v>
      </c>
      <c r="H181" s="508">
        <v>0.14000000000000001</v>
      </c>
      <c r="I181" s="400">
        <v>0.26</v>
      </c>
      <c r="J181" s="499">
        <v>8.0000000000000002E-3</v>
      </c>
      <c r="K181" s="46"/>
      <c r="L181" s="46"/>
      <c r="M181" s="47"/>
      <c r="N181" s="47"/>
      <c r="O181" s="47"/>
      <c r="P181" s="47"/>
      <c r="Q181" s="47"/>
      <c r="R181" s="47"/>
      <c r="S181" s="47"/>
      <c r="T181" s="47"/>
    </row>
    <row r="182" spans="1:20" ht="35.049999999999997" customHeight="1" x14ac:dyDescent="0.3">
      <c r="A182" s="398" t="s">
        <v>916</v>
      </c>
      <c r="B182" s="17"/>
      <c r="C182" s="405">
        <v>0</v>
      </c>
      <c r="D182" s="501">
        <v>0.22800000000000001</v>
      </c>
      <c r="E182" s="502">
        <v>2.5000000000000001E-2</v>
      </c>
      <c r="F182" s="503">
        <v>1E-3</v>
      </c>
      <c r="G182" s="508">
        <v>5.43</v>
      </c>
      <c r="H182" s="508">
        <v>0.14000000000000001</v>
      </c>
      <c r="I182" s="400">
        <v>0.26</v>
      </c>
      <c r="J182" s="499">
        <v>8.0000000000000002E-3</v>
      </c>
      <c r="K182" s="46"/>
      <c r="L182" s="46"/>
      <c r="M182" s="47"/>
      <c r="N182" s="47"/>
      <c r="O182" s="47"/>
      <c r="P182" s="47"/>
      <c r="Q182" s="47"/>
      <c r="R182" s="47"/>
      <c r="S182" s="47"/>
      <c r="T182" s="47"/>
    </row>
    <row r="183" spans="1:20" ht="35.049999999999997" customHeight="1" x14ac:dyDescent="0.3">
      <c r="A183" s="398" t="s">
        <v>917</v>
      </c>
      <c r="B183" s="17"/>
      <c r="C183" s="405">
        <v>0</v>
      </c>
      <c r="D183" s="501">
        <v>0.22800000000000001</v>
      </c>
      <c r="E183" s="502">
        <v>2.5000000000000001E-2</v>
      </c>
      <c r="F183" s="503">
        <v>1E-3</v>
      </c>
      <c r="G183" s="508">
        <v>9.4</v>
      </c>
      <c r="H183" s="508">
        <v>0.14000000000000001</v>
      </c>
      <c r="I183" s="400">
        <v>0.26</v>
      </c>
      <c r="J183" s="499">
        <v>8.0000000000000002E-3</v>
      </c>
      <c r="K183" s="46"/>
      <c r="L183" s="46"/>
      <c r="M183" s="47"/>
      <c r="N183" s="47"/>
      <c r="O183" s="47"/>
      <c r="P183" s="47"/>
      <c r="Q183" s="47"/>
      <c r="R183" s="47"/>
      <c r="S183" s="47"/>
      <c r="T183" s="47"/>
    </row>
    <row r="184" spans="1:20" ht="35.049999999999997" customHeight="1" x14ac:dyDescent="0.3">
      <c r="A184" s="398" t="s">
        <v>918</v>
      </c>
      <c r="B184" s="17"/>
      <c r="C184" s="405">
        <v>0</v>
      </c>
      <c r="D184" s="501">
        <v>0.22800000000000001</v>
      </c>
      <c r="E184" s="502">
        <v>2.5000000000000001E-2</v>
      </c>
      <c r="F184" s="503">
        <v>1E-3</v>
      </c>
      <c r="G184" s="508">
        <v>14.09</v>
      </c>
      <c r="H184" s="508">
        <v>0.14000000000000001</v>
      </c>
      <c r="I184" s="400">
        <v>0.26</v>
      </c>
      <c r="J184" s="499">
        <v>8.0000000000000002E-3</v>
      </c>
      <c r="K184" s="46"/>
      <c r="L184" s="46"/>
      <c r="M184" s="47"/>
      <c r="N184" s="47"/>
      <c r="O184" s="47"/>
      <c r="P184" s="47"/>
      <c r="Q184" s="47"/>
      <c r="R184" s="47"/>
      <c r="S184" s="47"/>
      <c r="T184" s="47"/>
    </row>
    <row r="185" spans="1:20" ht="35.049999999999997" customHeight="1" x14ac:dyDescent="0.3">
      <c r="A185" s="398" t="s">
        <v>919</v>
      </c>
      <c r="B185" s="17"/>
      <c r="C185" s="405">
        <v>0</v>
      </c>
      <c r="D185" s="501">
        <v>0.22800000000000001</v>
      </c>
      <c r="E185" s="502">
        <v>2.5000000000000001E-2</v>
      </c>
      <c r="F185" s="503">
        <v>1E-3</v>
      </c>
      <c r="G185" s="508">
        <v>34.75</v>
      </c>
      <c r="H185" s="508">
        <v>0.14000000000000001</v>
      </c>
      <c r="I185" s="400">
        <v>0.26</v>
      </c>
      <c r="J185" s="499">
        <v>8.0000000000000002E-3</v>
      </c>
      <c r="K185" s="46"/>
      <c r="L185" s="46"/>
      <c r="M185" s="47"/>
      <c r="N185" s="47"/>
      <c r="O185" s="47"/>
      <c r="P185" s="47"/>
      <c r="Q185" s="47"/>
      <c r="R185" s="47"/>
      <c r="S185" s="47"/>
      <c r="T185" s="47"/>
    </row>
    <row r="186" spans="1:20" ht="35.049999999999997" customHeight="1" x14ac:dyDescent="0.3">
      <c r="A186" s="398" t="s">
        <v>920</v>
      </c>
      <c r="B186" s="17"/>
      <c r="C186" s="405">
        <v>0</v>
      </c>
      <c r="D186" s="501">
        <v>0.23499999999999999</v>
      </c>
      <c r="E186" s="502">
        <v>1.7999999999999999E-2</v>
      </c>
      <c r="F186" s="503">
        <v>1E-3</v>
      </c>
      <c r="G186" s="508">
        <v>2.58</v>
      </c>
      <c r="H186" s="508">
        <v>0.3</v>
      </c>
      <c r="I186" s="400">
        <v>0.39</v>
      </c>
      <c r="J186" s="499">
        <v>7.0000000000000001E-3</v>
      </c>
      <c r="K186" s="46"/>
      <c r="L186" s="46"/>
      <c r="M186" s="47"/>
      <c r="N186" s="47"/>
      <c r="O186" s="47"/>
      <c r="P186" s="47"/>
      <c r="Q186" s="47"/>
      <c r="R186" s="47"/>
      <c r="S186" s="47"/>
      <c r="T186" s="47"/>
    </row>
    <row r="187" spans="1:20" ht="35.049999999999997" customHeight="1" x14ac:dyDescent="0.3">
      <c r="A187" s="398" t="s">
        <v>921</v>
      </c>
      <c r="B187" s="17"/>
      <c r="C187" s="405">
        <v>0</v>
      </c>
      <c r="D187" s="501">
        <v>0.23499999999999999</v>
      </c>
      <c r="E187" s="502">
        <v>1.7999999999999999E-2</v>
      </c>
      <c r="F187" s="503">
        <v>1E-3</v>
      </c>
      <c r="G187" s="508">
        <v>9.8000000000000007</v>
      </c>
      <c r="H187" s="508">
        <v>0.3</v>
      </c>
      <c r="I187" s="400">
        <v>0.39</v>
      </c>
      <c r="J187" s="499">
        <v>7.0000000000000001E-3</v>
      </c>
      <c r="K187" s="46"/>
      <c r="L187" s="46"/>
      <c r="M187" s="47"/>
      <c r="N187" s="47"/>
      <c r="O187" s="47"/>
      <c r="P187" s="47"/>
      <c r="Q187" s="47"/>
      <c r="R187" s="47"/>
      <c r="S187" s="47"/>
      <c r="T187" s="47"/>
    </row>
    <row r="188" spans="1:20" ht="35.049999999999997" customHeight="1" x14ac:dyDescent="0.3">
      <c r="A188" s="398" t="s">
        <v>922</v>
      </c>
      <c r="B188" s="17"/>
      <c r="C188" s="405">
        <v>0</v>
      </c>
      <c r="D188" s="501">
        <v>0.23499999999999999</v>
      </c>
      <c r="E188" s="502">
        <v>1.7999999999999999E-2</v>
      </c>
      <c r="F188" s="503">
        <v>1E-3</v>
      </c>
      <c r="G188" s="508">
        <v>16</v>
      </c>
      <c r="H188" s="508">
        <v>0.3</v>
      </c>
      <c r="I188" s="400">
        <v>0.39</v>
      </c>
      <c r="J188" s="499">
        <v>7.0000000000000001E-3</v>
      </c>
      <c r="K188" s="46"/>
      <c r="L188" s="46"/>
      <c r="M188" s="47"/>
      <c r="N188" s="47"/>
      <c r="O188" s="47"/>
      <c r="P188" s="47"/>
      <c r="Q188" s="47"/>
      <c r="R188" s="47"/>
      <c r="S188" s="47"/>
      <c r="T188" s="47"/>
    </row>
    <row r="189" spans="1:20" ht="35.049999999999997" customHeight="1" x14ac:dyDescent="0.3">
      <c r="A189" s="398" t="s">
        <v>923</v>
      </c>
      <c r="B189" s="17"/>
      <c r="C189" s="405">
        <v>0</v>
      </c>
      <c r="D189" s="501">
        <v>0.23499999999999999</v>
      </c>
      <c r="E189" s="502">
        <v>1.7999999999999999E-2</v>
      </c>
      <c r="F189" s="503">
        <v>1E-3</v>
      </c>
      <c r="G189" s="508">
        <v>23.34</v>
      </c>
      <c r="H189" s="508">
        <v>0.3</v>
      </c>
      <c r="I189" s="400">
        <v>0.39</v>
      </c>
      <c r="J189" s="499">
        <v>7.0000000000000001E-3</v>
      </c>
      <c r="K189" s="46"/>
      <c r="L189" s="46"/>
      <c r="M189" s="47"/>
      <c r="N189" s="47"/>
      <c r="O189" s="47"/>
      <c r="P189" s="47"/>
      <c r="Q189" s="47"/>
      <c r="R189" s="47"/>
      <c r="S189" s="47"/>
      <c r="T189" s="47"/>
    </row>
    <row r="190" spans="1:20" ht="35.049999999999997" customHeight="1" x14ac:dyDescent="0.3">
      <c r="A190" s="398" t="s">
        <v>924</v>
      </c>
      <c r="B190" s="17"/>
      <c r="C190" s="405">
        <v>0</v>
      </c>
      <c r="D190" s="501">
        <v>0.23499999999999999</v>
      </c>
      <c r="E190" s="502">
        <v>1.7999999999999999E-2</v>
      </c>
      <c r="F190" s="503">
        <v>1E-3</v>
      </c>
      <c r="G190" s="508">
        <v>55.67</v>
      </c>
      <c r="H190" s="508">
        <v>0.3</v>
      </c>
      <c r="I190" s="400">
        <v>0.39</v>
      </c>
      <c r="J190" s="499">
        <v>7.0000000000000001E-3</v>
      </c>
      <c r="K190" s="46"/>
      <c r="L190" s="46"/>
      <c r="M190" s="47"/>
      <c r="N190" s="47"/>
      <c r="O190" s="47"/>
      <c r="P190" s="47"/>
      <c r="Q190" s="47"/>
      <c r="R190" s="47"/>
      <c r="S190" s="47"/>
      <c r="T190" s="47"/>
    </row>
    <row r="191" spans="1:20" ht="35.049999999999997" customHeight="1" x14ac:dyDescent="0.3">
      <c r="A191" s="398" t="s">
        <v>925</v>
      </c>
      <c r="B191" s="17"/>
      <c r="C191" s="405">
        <v>0</v>
      </c>
      <c r="D191" s="501">
        <v>0.218</v>
      </c>
      <c r="E191" s="502">
        <v>1.4999999999999999E-2</v>
      </c>
      <c r="F191" s="503">
        <v>1E-3</v>
      </c>
      <c r="G191" s="508">
        <v>12.08</v>
      </c>
      <c r="H191" s="508">
        <v>0.4</v>
      </c>
      <c r="I191" s="400">
        <v>0.49</v>
      </c>
      <c r="J191" s="499">
        <v>6.0000000000000001E-3</v>
      </c>
      <c r="K191" s="46"/>
      <c r="L191" s="46"/>
      <c r="M191" s="47"/>
      <c r="N191" s="47"/>
      <c r="O191" s="47"/>
      <c r="P191" s="47"/>
      <c r="Q191" s="47"/>
      <c r="R191" s="47"/>
      <c r="S191" s="47"/>
      <c r="T191" s="47"/>
    </row>
    <row r="192" spans="1:20" ht="35.049999999999997" customHeight="1" x14ac:dyDescent="0.3">
      <c r="A192" s="398" t="s">
        <v>926</v>
      </c>
      <c r="B192" s="17"/>
      <c r="C192" s="405">
        <v>0</v>
      </c>
      <c r="D192" s="501">
        <v>0.218</v>
      </c>
      <c r="E192" s="502">
        <v>1.4999999999999999E-2</v>
      </c>
      <c r="F192" s="503">
        <v>1E-3</v>
      </c>
      <c r="G192" s="508">
        <v>62.33</v>
      </c>
      <c r="H192" s="508">
        <v>0.4</v>
      </c>
      <c r="I192" s="400">
        <v>0.49</v>
      </c>
      <c r="J192" s="499">
        <v>6.0000000000000001E-3</v>
      </c>
      <c r="K192" s="46"/>
      <c r="L192" s="46"/>
      <c r="M192" s="47"/>
      <c r="N192" s="47"/>
      <c r="O192" s="47"/>
      <c r="P192" s="47"/>
      <c r="Q192" s="47"/>
      <c r="R192" s="47"/>
      <c r="S192" s="47"/>
      <c r="T192" s="47"/>
    </row>
    <row r="193" spans="1:20" ht="35.049999999999997" customHeight="1" x14ac:dyDescent="0.3">
      <c r="A193" s="398" t="s">
        <v>927</v>
      </c>
      <c r="B193" s="17"/>
      <c r="C193" s="405">
        <v>0</v>
      </c>
      <c r="D193" s="501">
        <v>0.218</v>
      </c>
      <c r="E193" s="502">
        <v>1.4999999999999999E-2</v>
      </c>
      <c r="F193" s="503">
        <v>1E-3</v>
      </c>
      <c r="G193" s="508">
        <v>158.68</v>
      </c>
      <c r="H193" s="508">
        <v>0.4</v>
      </c>
      <c r="I193" s="400">
        <v>0.49</v>
      </c>
      <c r="J193" s="499">
        <v>6.0000000000000001E-3</v>
      </c>
      <c r="K193" s="46"/>
      <c r="L193" s="46"/>
      <c r="M193" s="47"/>
      <c r="N193" s="47"/>
      <c r="O193" s="47"/>
      <c r="P193" s="47"/>
      <c r="Q193" s="47"/>
      <c r="R193" s="47"/>
      <c r="S193" s="47"/>
      <c r="T193" s="47"/>
    </row>
    <row r="194" spans="1:20" ht="35.049999999999997" customHeight="1" x14ac:dyDescent="0.3">
      <c r="A194" s="398" t="s">
        <v>928</v>
      </c>
      <c r="B194" s="17"/>
      <c r="C194" s="405">
        <v>0</v>
      </c>
      <c r="D194" s="501">
        <v>0.218</v>
      </c>
      <c r="E194" s="502">
        <v>1.4999999999999999E-2</v>
      </c>
      <c r="F194" s="503">
        <v>1E-3</v>
      </c>
      <c r="G194" s="508">
        <v>281.16000000000003</v>
      </c>
      <c r="H194" s="508">
        <v>0.4</v>
      </c>
      <c r="I194" s="400">
        <v>0.49</v>
      </c>
      <c r="J194" s="499">
        <v>6.0000000000000001E-3</v>
      </c>
      <c r="K194" s="46"/>
      <c r="L194" s="46"/>
      <c r="M194" s="47"/>
      <c r="N194" s="47"/>
      <c r="O194" s="47"/>
      <c r="P194" s="47"/>
      <c r="Q194" s="47"/>
      <c r="R194" s="47"/>
      <c r="S194" s="47"/>
      <c r="T194" s="47"/>
    </row>
    <row r="195" spans="1:20" ht="35.049999999999997" customHeight="1" x14ac:dyDescent="0.3">
      <c r="A195" s="398" t="s">
        <v>929</v>
      </c>
      <c r="B195" s="17"/>
      <c r="C195" s="405">
        <v>0</v>
      </c>
      <c r="D195" s="501">
        <v>0.218</v>
      </c>
      <c r="E195" s="502">
        <v>1.4999999999999999E-2</v>
      </c>
      <c r="F195" s="503">
        <v>1E-3</v>
      </c>
      <c r="G195" s="508">
        <v>718.97</v>
      </c>
      <c r="H195" s="508">
        <v>0.4</v>
      </c>
      <c r="I195" s="400">
        <v>0.49</v>
      </c>
      <c r="J195" s="499">
        <v>6.0000000000000001E-3</v>
      </c>
      <c r="K195" s="46"/>
      <c r="L195" s="46"/>
      <c r="M195" s="47"/>
      <c r="N195" s="47"/>
      <c r="O195" s="47"/>
      <c r="P195" s="47"/>
      <c r="Q195" s="47"/>
      <c r="R195" s="47"/>
      <c r="S195" s="47"/>
      <c r="T195" s="47"/>
    </row>
    <row r="196" spans="1:20" ht="35.049999999999997" customHeight="1" x14ac:dyDescent="0.3">
      <c r="A196" s="398" t="s">
        <v>595</v>
      </c>
      <c r="B196" s="17"/>
      <c r="C196" s="405" t="s">
        <v>616</v>
      </c>
      <c r="D196" s="504">
        <v>0.75600000000000001</v>
      </c>
      <c r="E196" s="505">
        <v>0.13800000000000001</v>
      </c>
      <c r="F196" s="503">
        <v>0.105</v>
      </c>
      <c r="G196" s="509">
        <v>0</v>
      </c>
      <c r="H196" s="509">
        <v>0</v>
      </c>
      <c r="I196" s="399">
        <v>0</v>
      </c>
      <c r="J196" s="500">
        <v>0</v>
      </c>
      <c r="K196" s="46"/>
      <c r="L196" s="46"/>
      <c r="M196" s="47"/>
      <c r="N196" s="47"/>
      <c r="O196" s="47"/>
      <c r="P196" s="47"/>
      <c r="Q196" s="47"/>
      <c r="R196" s="47"/>
      <c r="S196" s="47"/>
      <c r="T196" s="47"/>
    </row>
    <row r="197" spans="1:20" ht="35.049999999999997" customHeight="1" x14ac:dyDescent="0.3">
      <c r="A197" s="398" t="s">
        <v>711</v>
      </c>
      <c r="B197" s="17"/>
      <c r="C197" s="405" t="s">
        <v>621</v>
      </c>
      <c r="D197" s="501">
        <v>-0.35199999999999998</v>
      </c>
      <c r="E197" s="502">
        <v>-4.5999999999999999E-2</v>
      </c>
      <c r="F197" s="503">
        <v>-2E-3</v>
      </c>
      <c r="G197" s="508">
        <v>0</v>
      </c>
      <c r="H197" s="509">
        <v>0</v>
      </c>
      <c r="I197" s="399">
        <v>0</v>
      </c>
      <c r="J197" s="500">
        <v>0</v>
      </c>
      <c r="K197" s="46"/>
      <c r="L197" s="46"/>
      <c r="M197" s="47"/>
      <c r="N197" s="47"/>
      <c r="O197" s="47"/>
      <c r="P197" s="47"/>
      <c r="Q197" s="47"/>
      <c r="R197" s="47"/>
      <c r="S197" s="47"/>
      <c r="T197" s="47"/>
    </row>
    <row r="198" spans="1:20" ht="35.049999999999997" customHeight="1" x14ac:dyDescent="0.3">
      <c r="A198" s="398" t="s">
        <v>712</v>
      </c>
      <c r="B198" s="17"/>
      <c r="C198" s="405" t="s">
        <v>621</v>
      </c>
      <c r="D198" s="501">
        <v>-0.35699999999999998</v>
      </c>
      <c r="E198" s="502">
        <v>-4.2000000000000003E-2</v>
      </c>
      <c r="F198" s="503">
        <v>-2E-3</v>
      </c>
      <c r="G198" s="508">
        <v>0</v>
      </c>
      <c r="H198" s="509">
        <v>0</v>
      </c>
      <c r="I198" s="399">
        <v>0</v>
      </c>
      <c r="J198" s="500">
        <v>0</v>
      </c>
      <c r="K198" s="46"/>
      <c r="L198" s="46"/>
      <c r="M198" s="47"/>
      <c r="N198" s="47"/>
      <c r="O198" s="47"/>
      <c r="P198" s="47"/>
      <c r="Q198" s="47"/>
      <c r="R198" s="47"/>
      <c r="S198" s="47"/>
      <c r="T198" s="47"/>
    </row>
    <row r="199" spans="1:20" ht="35.049999999999997" customHeight="1" x14ac:dyDescent="0.3">
      <c r="A199" s="398" t="s">
        <v>713</v>
      </c>
      <c r="B199" s="17"/>
      <c r="C199" s="405">
        <v>0</v>
      </c>
      <c r="D199" s="501">
        <v>-0.35199999999999998</v>
      </c>
      <c r="E199" s="502">
        <v>-4.5999999999999999E-2</v>
      </c>
      <c r="F199" s="503">
        <v>-2E-3</v>
      </c>
      <c r="G199" s="508">
        <v>0</v>
      </c>
      <c r="H199" s="509">
        <v>0</v>
      </c>
      <c r="I199" s="399">
        <v>0</v>
      </c>
      <c r="J199" s="499">
        <v>1.4E-2</v>
      </c>
      <c r="K199" s="46"/>
      <c r="L199" s="46"/>
      <c r="M199" s="47"/>
      <c r="N199" s="47"/>
      <c r="O199" s="47"/>
      <c r="P199" s="47"/>
      <c r="Q199" s="47"/>
      <c r="R199" s="47"/>
      <c r="S199" s="47"/>
      <c r="T199" s="47"/>
    </row>
    <row r="200" spans="1:20" ht="35.049999999999997" customHeight="1" x14ac:dyDescent="0.3">
      <c r="A200" s="398" t="s">
        <v>714</v>
      </c>
      <c r="B200" s="17"/>
      <c r="C200" s="405">
        <v>0</v>
      </c>
      <c r="D200" s="501">
        <v>-0.35699999999999998</v>
      </c>
      <c r="E200" s="502">
        <v>-4.2000000000000003E-2</v>
      </c>
      <c r="F200" s="503">
        <v>-2E-3</v>
      </c>
      <c r="G200" s="508">
        <v>0</v>
      </c>
      <c r="H200" s="509">
        <v>0</v>
      </c>
      <c r="I200" s="399">
        <v>0</v>
      </c>
      <c r="J200" s="499">
        <v>1.2999999999999999E-2</v>
      </c>
      <c r="K200" s="46"/>
      <c r="L200" s="46"/>
      <c r="M200" s="47"/>
      <c r="N200" s="47"/>
      <c r="O200" s="47"/>
      <c r="P200" s="47"/>
      <c r="Q200" s="47"/>
      <c r="R200" s="47"/>
      <c r="S200" s="47"/>
      <c r="T200" s="47"/>
    </row>
    <row r="201" spans="1:20" ht="35.049999999999997" customHeight="1" x14ac:dyDescent="0.3">
      <c r="A201" s="398" t="s">
        <v>715</v>
      </c>
      <c r="B201" s="17"/>
      <c r="C201" s="405">
        <v>0</v>
      </c>
      <c r="D201" s="501">
        <v>-0.46500000000000002</v>
      </c>
      <c r="E201" s="502">
        <v>-3.5000000000000003E-2</v>
      </c>
      <c r="F201" s="503">
        <v>-1E-3</v>
      </c>
      <c r="G201" s="508">
        <v>40.299999999999997</v>
      </c>
      <c r="H201" s="509">
        <v>0</v>
      </c>
      <c r="I201" s="399">
        <v>0</v>
      </c>
      <c r="J201" s="499">
        <v>1.9E-2</v>
      </c>
      <c r="K201" s="46"/>
      <c r="L201" s="46"/>
      <c r="M201" s="47"/>
      <c r="N201" s="47"/>
      <c r="O201" s="47"/>
      <c r="P201" s="47"/>
      <c r="Q201" s="47"/>
      <c r="R201" s="47"/>
      <c r="S201" s="47"/>
      <c r="T201" s="47"/>
    </row>
    <row r="202" spans="1:20" ht="27.75" customHeight="1" x14ac:dyDescent="0.3">
      <c r="K202" s="46"/>
      <c r="L202" s="46"/>
      <c r="M202" s="47"/>
      <c r="N202" s="47"/>
      <c r="O202" s="47"/>
      <c r="P202" s="47"/>
      <c r="Q202" s="47"/>
      <c r="R202" s="47"/>
      <c r="S202" s="47"/>
      <c r="T202" s="47"/>
    </row>
  </sheetData>
  <mergeCells count="11">
    <mergeCell ref="F7:G7"/>
    <mergeCell ref="A2:J2"/>
    <mergeCell ref="A4:D4"/>
    <mergeCell ref="F4:J4"/>
    <mergeCell ref="F5:G5"/>
    <mergeCell ref="F6:G6"/>
    <mergeCell ref="F8:G8"/>
    <mergeCell ref="F9:G9"/>
    <mergeCell ref="F10:G10"/>
    <mergeCell ref="B10:D10"/>
    <mergeCell ref="H10:J10"/>
  </mergeCells>
  <hyperlinks>
    <hyperlink ref="A1" location="Overview!A1" display="Back to Overview" xr:uid="{25D52DA5-BE6A-41CC-9808-8462E45BEAB8}"/>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pageSetUpPr fitToPage="1"/>
  </sheetPr>
  <dimension ref="A1:M201"/>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0" t="s">
        <v>19</v>
      </c>
      <c r="B1" s="1"/>
      <c r="F1" s="1"/>
      <c r="G1" s="1"/>
      <c r="H1" s="1"/>
      <c r="I1" s="3"/>
      <c r="J1" s="1"/>
      <c r="K1" s="1"/>
    </row>
    <row r="2" spans="1:13" ht="40" customHeight="1" x14ac:dyDescent="0.3">
      <c r="A2" s="612" t="str">
        <f>Overview!B4&amp;" - Effective from "&amp;Overview!D4&amp;" - Final LDNO tariffs in UKPN SPN Area (GSP Group_J)"</f>
        <v>Indigo Power Limited - Effective from 1 April 2023 - Final LDNO tariffs in UKPN SPN Area (GSP Group_J)</v>
      </c>
      <c r="B2" s="612"/>
      <c r="C2" s="612"/>
      <c r="D2" s="612"/>
      <c r="E2" s="612"/>
      <c r="F2" s="612"/>
      <c r="G2" s="612"/>
      <c r="H2" s="612"/>
      <c r="I2" s="612"/>
      <c r="J2" s="612"/>
    </row>
    <row r="3" spans="1:13" ht="40" customHeight="1" x14ac:dyDescent="0.3">
      <c r="A3" s="48"/>
      <c r="B3" s="48"/>
      <c r="C3" s="48"/>
      <c r="D3" s="48"/>
      <c r="E3" s="48"/>
      <c r="F3" s="48"/>
      <c r="G3" s="48"/>
      <c r="H3" s="48"/>
      <c r="I3" s="48"/>
      <c r="J3" s="48"/>
    </row>
    <row r="4" spans="1:13" ht="40" customHeight="1" x14ac:dyDescent="0.3">
      <c r="A4" s="552" t="s">
        <v>308</v>
      </c>
      <c r="B4" s="552"/>
      <c r="C4" s="552"/>
      <c r="D4" s="552"/>
      <c r="E4" s="52"/>
      <c r="F4" s="552" t="s">
        <v>307</v>
      </c>
      <c r="G4" s="552"/>
      <c r="H4" s="552"/>
      <c r="I4" s="552"/>
      <c r="J4" s="552"/>
      <c r="L4" s="3"/>
    </row>
    <row r="5" spans="1:13" ht="40" customHeight="1" x14ac:dyDescent="0.3">
      <c r="A5" s="468" t="s">
        <v>13</v>
      </c>
      <c r="B5" s="281" t="s">
        <v>299</v>
      </c>
      <c r="C5" s="182" t="s">
        <v>300</v>
      </c>
      <c r="D5" s="42" t="s">
        <v>301</v>
      </c>
      <c r="E5" s="45"/>
      <c r="F5" s="549"/>
      <c r="G5" s="550"/>
      <c r="H5" s="43" t="s">
        <v>305</v>
      </c>
      <c r="I5" s="44" t="s">
        <v>306</v>
      </c>
      <c r="J5" s="42" t="s">
        <v>301</v>
      </c>
      <c r="K5" s="45"/>
      <c r="L5" s="3"/>
      <c r="M5" s="3"/>
    </row>
    <row r="6" spans="1:13" ht="40" customHeight="1" x14ac:dyDescent="0.3">
      <c r="A6" s="105" t="str">
        <f>'Annex 1 LV and HV charges_J'!A6</f>
        <v>Monday to Friday 
(Including Bank Holidays)
All Year</v>
      </c>
      <c r="B6" s="273" t="str">
        <f>'Annex 1 LV and HV charges_J'!B6</f>
        <v>16:00 - 19:00</v>
      </c>
      <c r="C6" s="273" t="str">
        <f>'Annex 1 LV and HV charges_J'!C6</f>
        <v>07:00 - 16:00
19:00 - 23:00</v>
      </c>
      <c r="D6" s="86" t="str">
        <f>'Annex 1 LV and HV charges_J'!E6</f>
        <v>00:00 - 07:00
23:00 - 24:00</v>
      </c>
      <c r="E6" s="45"/>
      <c r="F6" s="537" t="str">
        <f>'Annex 1 LV and HV charges_J'!G6</f>
        <v>Monday to Friday 
(Including Bank Holidays)
November to February Inclusive</v>
      </c>
      <c r="G6" s="538" t="str">
        <f>'Annex 1 LV and HV charges_J'!H6</f>
        <v/>
      </c>
      <c r="H6" s="273" t="str">
        <f>'Annex 1 LV and HV charges_J'!I6</f>
        <v>16:00 - 19:00</v>
      </c>
      <c r="I6" s="279" t="str">
        <f>'Annex 1 LV and HV charges_J'!J6</f>
        <v>07:00 - 16:00
19:00 - 23:00</v>
      </c>
      <c r="J6" s="86" t="str">
        <f>'Annex 1 LV and HV charges_J'!K6</f>
        <v>00:00 - 07:00
23:00 - 24:00</v>
      </c>
      <c r="K6" s="45"/>
      <c r="L6" s="3"/>
      <c r="M6" s="3"/>
    </row>
    <row r="7" spans="1:13" ht="40" customHeight="1" x14ac:dyDescent="0.3">
      <c r="A7" s="105" t="str">
        <f>'Annex 1 LV and HV charges_J'!A7</f>
        <v>Saturday and Sunday
All Year</v>
      </c>
      <c r="B7" s="274" t="str">
        <f>'Annex 1 LV and HV charges_J'!B7</f>
        <v/>
      </c>
      <c r="C7" s="183" t="str">
        <f>'Annex 1 LV and HV charges_J'!C7</f>
        <v/>
      </c>
      <c r="D7" s="279" t="str">
        <f>'Annex 1 LV and HV charges_J'!E7</f>
        <v>00:00 - 24:00</v>
      </c>
      <c r="E7" s="45"/>
      <c r="F7" s="537" t="str">
        <f>'Annex 1 LV and HV charges_J'!G7</f>
        <v>Monday to Friday 
(Including Bank Holidays)
March to October Inclusive</v>
      </c>
      <c r="G7" s="538" t="str">
        <f>'Annex 1 LV and HV charges_J'!H7</f>
        <v/>
      </c>
      <c r="H7" s="274" t="str">
        <f>'Annex 1 LV and HV charges_J'!I7</f>
        <v/>
      </c>
      <c r="I7" s="279" t="str">
        <f>'Annex 1 LV and HV charges_J'!J7</f>
        <v>07:00 - 23:00</v>
      </c>
      <c r="J7" s="86" t="str">
        <f>'Annex 1 LV and HV charges_J'!K7</f>
        <v>00:00 - 07:00
23:00 - 24:00</v>
      </c>
      <c r="K7" s="45"/>
      <c r="L7" s="3"/>
      <c r="M7" s="3"/>
    </row>
    <row r="8" spans="1:13" ht="40" customHeight="1" x14ac:dyDescent="0.3">
      <c r="A8" s="465" t="str">
        <f>'Annex 1 LV and HV charges_J'!A8</f>
        <v>Notes</v>
      </c>
      <c r="B8" s="537" t="str">
        <f>'Annex 1 LV and HV charges_J'!B8</f>
        <v>All times are in UK Clock time</v>
      </c>
      <c r="C8" s="546" t="str">
        <f>'Annex 1 LV and HV charges_J'!C8</f>
        <v/>
      </c>
      <c r="D8" s="538" t="str">
        <f>'Annex 1 LV and HV charges_J'!D8</f>
        <v/>
      </c>
      <c r="E8" s="45"/>
      <c r="F8" s="537" t="str">
        <f>'Annex 1 LV and HV charges_J'!G8</f>
        <v>Saturday and Sunday
All Year</v>
      </c>
      <c r="G8" s="538" t="str">
        <f>'Annex 1 LV and HV charges_J'!H8</f>
        <v/>
      </c>
      <c r="H8" s="274" t="str">
        <f>'Annex 1 LV and HV charges_J'!I8</f>
        <v/>
      </c>
      <c r="I8" s="274" t="str">
        <f>'Annex 1 LV and HV charges_J'!J8</f>
        <v/>
      </c>
      <c r="J8" s="279" t="str">
        <f>'Annex 1 LV and HV charges_J'!K8</f>
        <v>00:00 - 24:00</v>
      </c>
      <c r="K8" s="45"/>
      <c r="L8" s="3"/>
      <c r="M8" s="3"/>
    </row>
    <row r="9" spans="1:13" s="47" customFormat="1" ht="40" customHeight="1" x14ac:dyDescent="0.3">
      <c r="B9" s="45"/>
      <c r="C9" s="45"/>
      <c r="D9" s="45"/>
      <c r="E9" s="49"/>
      <c r="F9" s="569" t="str">
        <f>'Annex 1 LV and HV charges_J'!G9</f>
        <v>Notes</v>
      </c>
      <c r="G9" s="569" t="str">
        <f>'Annex 1 LV and HV charges_J'!H9</f>
        <v/>
      </c>
      <c r="H9" s="537" t="str">
        <f>'Annex 1 LV and HV charges_J'!I9</f>
        <v>All times are in UK Clock time</v>
      </c>
      <c r="I9" s="546" t="str">
        <f>'Annex 1 LV and HV charges_J'!J9</f>
        <v/>
      </c>
      <c r="J9" s="538" t="str">
        <f>'Annex 1 LV and HV charges_J'!K9</f>
        <v/>
      </c>
      <c r="K9" s="46"/>
      <c r="L9" s="46"/>
    </row>
    <row r="10" spans="1:13" s="47" customFormat="1" ht="40" customHeight="1" x14ac:dyDescent="0.3">
      <c r="A10" s="45"/>
      <c r="B10" s="45"/>
      <c r="C10" s="45"/>
      <c r="D10" s="518" t="s">
        <v>480</v>
      </c>
      <c r="E10" s="45"/>
      <c r="F10" s="50"/>
      <c r="G10" s="50"/>
      <c r="H10" s="51"/>
      <c r="I10" s="51"/>
      <c r="J10" s="51"/>
      <c r="K10" s="46"/>
      <c r="L10" s="46"/>
    </row>
    <row r="11" spans="1:13" ht="75" customHeight="1" x14ac:dyDescent="0.3">
      <c r="A11" s="18" t="s">
        <v>455</v>
      </c>
      <c r="B11" s="18" t="s">
        <v>31</v>
      </c>
      <c r="C11" s="433" t="s">
        <v>24</v>
      </c>
      <c r="D11" s="374" t="s">
        <v>579</v>
      </c>
      <c r="E11" s="374" t="s">
        <v>580</v>
      </c>
      <c r="F11" s="374" t="s">
        <v>581</v>
      </c>
      <c r="G11" s="433" t="s">
        <v>25</v>
      </c>
      <c r="H11" s="433" t="s">
        <v>26</v>
      </c>
      <c r="I11" s="433" t="s">
        <v>456</v>
      </c>
      <c r="J11" s="433" t="s">
        <v>270</v>
      </c>
      <c r="K11" s="1"/>
    </row>
    <row r="12" spans="1:13" ht="35.049999999999997" customHeight="1" x14ac:dyDescent="0.3">
      <c r="A12" s="398" t="s">
        <v>786</v>
      </c>
      <c r="B12" s="24"/>
      <c r="C12" s="434" t="s">
        <v>639</v>
      </c>
      <c r="D12" s="501">
        <v>10.715</v>
      </c>
      <c r="E12" s="502">
        <v>0.42299999999999999</v>
      </c>
      <c r="F12" s="503">
        <v>0.13100000000000001</v>
      </c>
      <c r="G12" s="508">
        <v>5.84</v>
      </c>
      <c r="H12" s="509"/>
      <c r="I12" s="399"/>
      <c r="J12" s="500"/>
      <c r="K12" s="1"/>
    </row>
    <row r="13" spans="1:13" ht="35.049999999999997" customHeight="1" x14ac:dyDescent="0.3">
      <c r="A13" s="398" t="s">
        <v>787</v>
      </c>
      <c r="B13" s="24"/>
      <c r="C13" s="391" t="s">
        <v>575</v>
      </c>
      <c r="D13" s="501">
        <v>10.715</v>
      </c>
      <c r="E13" s="502">
        <v>0.42299999999999999</v>
      </c>
      <c r="F13" s="503">
        <v>0.13100000000000001</v>
      </c>
      <c r="G13" s="509"/>
      <c r="H13" s="509"/>
      <c r="I13" s="399"/>
      <c r="J13" s="500"/>
      <c r="K13" s="1"/>
    </row>
    <row r="14" spans="1:13" ht="35.049999999999997" customHeight="1" x14ac:dyDescent="0.3">
      <c r="A14" s="398" t="s">
        <v>788</v>
      </c>
      <c r="B14" s="24"/>
      <c r="C14" s="409" t="s">
        <v>640</v>
      </c>
      <c r="D14" s="501">
        <v>8.0229999999999997</v>
      </c>
      <c r="E14" s="502">
        <v>0.317</v>
      </c>
      <c r="F14" s="503">
        <v>9.8000000000000004E-2</v>
      </c>
      <c r="G14" s="508">
        <v>3.06</v>
      </c>
      <c r="H14" s="509"/>
      <c r="I14" s="399"/>
      <c r="J14" s="500"/>
      <c r="K14" s="1"/>
    </row>
    <row r="15" spans="1:13" ht="35.049999999999997" customHeight="1" x14ac:dyDescent="0.3">
      <c r="A15" s="398" t="s">
        <v>789</v>
      </c>
      <c r="B15" s="24"/>
      <c r="C15" s="409" t="s">
        <v>640</v>
      </c>
      <c r="D15" s="501">
        <v>8.0229999999999997</v>
      </c>
      <c r="E15" s="502">
        <v>0.317</v>
      </c>
      <c r="F15" s="503">
        <v>9.8000000000000004E-2</v>
      </c>
      <c r="G15" s="508">
        <v>4.1500000000000004</v>
      </c>
      <c r="H15" s="509"/>
      <c r="I15" s="399"/>
      <c r="J15" s="500"/>
      <c r="K15" s="1"/>
    </row>
    <row r="16" spans="1:13" ht="35.049999999999997" customHeight="1" x14ac:dyDescent="0.3">
      <c r="A16" s="398" t="s">
        <v>790</v>
      </c>
      <c r="B16" s="24"/>
      <c r="C16" s="409" t="s">
        <v>640</v>
      </c>
      <c r="D16" s="501">
        <v>8.0229999999999997</v>
      </c>
      <c r="E16" s="502">
        <v>0.317</v>
      </c>
      <c r="F16" s="503">
        <v>9.8000000000000004E-2</v>
      </c>
      <c r="G16" s="508">
        <v>9.66</v>
      </c>
      <c r="H16" s="509"/>
      <c r="I16" s="399"/>
      <c r="J16" s="500"/>
      <c r="K16" s="1"/>
    </row>
    <row r="17" spans="1:11" ht="35.049999999999997" customHeight="1" x14ac:dyDescent="0.3">
      <c r="A17" s="398" t="s">
        <v>791</v>
      </c>
      <c r="B17" s="24"/>
      <c r="C17" s="409" t="s">
        <v>640</v>
      </c>
      <c r="D17" s="501">
        <v>8.0229999999999997</v>
      </c>
      <c r="E17" s="502">
        <v>0.317</v>
      </c>
      <c r="F17" s="503">
        <v>9.8000000000000004E-2</v>
      </c>
      <c r="G17" s="508">
        <v>19.399999999999999</v>
      </c>
      <c r="H17" s="509"/>
      <c r="I17" s="399"/>
      <c r="J17" s="500"/>
      <c r="K17" s="1"/>
    </row>
    <row r="18" spans="1:11" ht="35.049999999999997" customHeight="1" x14ac:dyDescent="0.3">
      <c r="A18" s="398" t="s">
        <v>792</v>
      </c>
      <c r="B18" s="24"/>
      <c r="C18" s="409" t="s">
        <v>640</v>
      </c>
      <c r="D18" s="501">
        <v>8.0229999999999997</v>
      </c>
      <c r="E18" s="502">
        <v>0.317</v>
      </c>
      <c r="F18" s="503">
        <v>9.8000000000000004E-2</v>
      </c>
      <c r="G18" s="508">
        <v>50.85</v>
      </c>
      <c r="H18" s="509"/>
      <c r="I18" s="399"/>
      <c r="J18" s="500"/>
      <c r="K18" s="1"/>
    </row>
    <row r="19" spans="1:11" ht="35.049999999999997" customHeight="1" x14ac:dyDescent="0.3">
      <c r="A19" s="398" t="s">
        <v>582</v>
      </c>
      <c r="B19" s="24"/>
      <c r="C19" s="391" t="s">
        <v>577</v>
      </c>
      <c r="D19" s="501">
        <v>8.0229999999999997</v>
      </c>
      <c r="E19" s="502">
        <v>0.317</v>
      </c>
      <c r="F19" s="503">
        <v>9.8000000000000004E-2</v>
      </c>
      <c r="G19" s="509"/>
      <c r="H19" s="509"/>
      <c r="I19" s="399"/>
      <c r="J19" s="500"/>
      <c r="K19" s="1"/>
    </row>
    <row r="20" spans="1:11" ht="35.049999999999997" customHeight="1" x14ac:dyDescent="0.3">
      <c r="A20" s="398" t="s">
        <v>793</v>
      </c>
      <c r="B20" s="24"/>
      <c r="C20" s="395">
        <v>0</v>
      </c>
      <c r="D20" s="501">
        <v>6.0759999999999996</v>
      </c>
      <c r="E20" s="502">
        <v>0.23300000000000001</v>
      </c>
      <c r="F20" s="503">
        <v>7.0000000000000007E-2</v>
      </c>
      <c r="G20" s="508">
        <v>9.68</v>
      </c>
      <c r="H20" s="508">
        <v>2.52</v>
      </c>
      <c r="I20" s="400">
        <v>4.75</v>
      </c>
      <c r="J20" s="499">
        <v>0.20200000000000001</v>
      </c>
      <c r="K20" s="1"/>
    </row>
    <row r="21" spans="1:11" ht="35.049999999999997" customHeight="1" x14ac:dyDescent="0.3">
      <c r="A21" s="398" t="s">
        <v>794</v>
      </c>
      <c r="B21" s="24"/>
      <c r="C21" s="395">
        <v>0</v>
      </c>
      <c r="D21" s="501">
        <v>6.0759999999999996</v>
      </c>
      <c r="E21" s="502">
        <v>0.23300000000000001</v>
      </c>
      <c r="F21" s="503">
        <v>7.0000000000000007E-2</v>
      </c>
      <c r="G21" s="508">
        <v>90.68</v>
      </c>
      <c r="H21" s="508">
        <v>2.52</v>
      </c>
      <c r="I21" s="400">
        <v>4.75</v>
      </c>
      <c r="J21" s="499">
        <v>0.20200000000000001</v>
      </c>
      <c r="K21" s="1"/>
    </row>
    <row r="22" spans="1:11" ht="35.049999999999997" customHeight="1" x14ac:dyDescent="0.3">
      <c r="A22" s="398" t="s">
        <v>795</v>
      </c>
      <c r="B22" s="24"/>
      <c r="C22" s="395">
        <v>0</v>
      </c>
      <c r="D22" s="501">
        <v>6.0759999999999996</v>
      </c>
      <c r="E22" s="502">
        <v>0.23300000000000001</v>
      </c>
      <c r="F22" s="503">
        <v>7.0000000000000007E-2</v>
      </c>
      <c r="G22" s="508">
        <v>146.16999999999999</v>
      </c>
      <c r="H22" s="508">
        <v>2.52</v>
      </c>
      <c r="I22" s="400">
        <v>4.75</v>
      </c>
      <c r="J22" s="499">
        <v>0.20200000000000001</v>
      </c>
      <c r="K22" s="1"/>
    </row>
    <row r="23" spans="1:11" ht="35.049999999999997" customHeight="1" x14ac:dyDescent="0.3">
      <c r="A23" s="398" t="s">
        <v>796</v>
      </c>
      <c r="B23" s="24"/>
      <c r="C23" s="395">
        <v>0</v>
      </c>
      <c r="D23" s="501">
        <v>6.0759999999999996</v>
      </c>
      <c r="E23" s="502">
        <v>0.23300000000000001</v>
      </c>
      <c r="F23" s="503">
        <v>7.0000000000000007E-2</v>
      </c>
      <c r="G23" s="508">
        <v>232.57</v>
      </c>
      <c r="H23" s="508">
        <v>2.52</v>
      </c>
      <c r="I23" s="400">
        <v>4.75</v>
      </c>
      <c r="J23" s="499">
        <v>0.20200000000000001</v>
      </c>
      <c r="K23" s="1"/>
    </row>
    <row r="24" spans="1:11" ht="35.049999999999997" customHeight="1" x14ac:dyDescent="0.3">
      <c r="A24" s="398" t="s">
        <v>797</v>
      </c>
      <c r="B24" s="24"/>
      <c r="C24" s="395">
        <v>0</v>
      </c>
      <c r="D24" s="501">
        <v>6.0759999999999996</v>
      </c>
      <c r="E24" s="502">
        <v>0.23300000000000001</v>
      </c>
      <c r="F24" s="503">
        <v>7.0000000000000007E-2</v>
      </c>
      <c r="G24" s="508">
        <v>505.73</v>
      </c>
      <c r="H24" s="508">
        <v>2.52</v>
      </c>
      <c r="I24" s="400">
        <v>4.75</v>
      </c>
      <c r="J24" s="499">
        <v>0.20200000000000001</v>
      </c>
      <c r="K24" s="1"/>
    </row>
    <row r="25" spans="1:11" ht="35.049999999999997" customHeight="1" x14ac:dyDescent="0.3">
      <c r="A25" s="398" t="s">
        <v>583</v>
      </c>
      <c r="B25" s="24"/>
      <c r="C25" s="395" t="s">
        <v>616</v>
      </c>
      <c r="D25" s="504">
        <v>27.337</v>
      </c>
      <c r="E25" s="505">
        <v>1.165</v>
      </c>
      <c r="F25" s="503">
        <v>0.95799999999999996</v>
      </c>
      <c r="G25" s="509"/>
      <c r="H25" s="509"/>
      <c r="I25" s="399"/>
      <c r="J25" s="500"/>
      <c r="K25" s="1"/>
    </row>
    <row r="26" spans="1:11" ht="35.049999999999997" customHeight="1" x14ac:dyDescent="0.3">
      <c r="A26" s="398" t="s">
        <v>686</v>
      </c>
      <c r="B26" s="24"/>
      <c r="C26" s="435">
        <v>0</v>
      </c>
      <c r="D26" s="501">
        <v>-9.1539999999999999</v>
      </c>
      <c r="E26" s="502">
        <v>-0.36199999999999999</v>
      </c>
      <c r="F26" s="503">
        <v>-0.112</v>
      </c>
      <c r="G26" s="508">
        <v>0</v>
      </c>
      <c r="H26" s="509"/>
      <c r="I26" s="399"/>
      <c r="J26" s="500"/>
      <c r="K26" s="1"/>
    </row>
    <row r="27" spans="1:11" ht="35.049999999999997" customHeight="1" x14ac:dyDescent="0.3">
      <c r="A27" s="398" t="s">
        <v>687</v>
      </c>
      <c r="B27" s="24"/>
      <c r="C27" s="406">
        <v>0</v>
      </c>
      <c r="D27" s="501">
        <v>-9.1539999999999999</v>
      </c>
      <c r="E27" s="502">
        <v>-0.36199999999999999</v>
      </c>
      <c r="F27" s="503">
        <v>-0.112</v>
      </c>
      <c r="G27" s="508">
        <v>0</v>
      </c>
      <c r="H27" s="509"/>
      <c r="I27" s="399"/>
      <c r="J27" s="499">
        <v>0.27100000000000002</v>
      </c>
      <c r="K27" s="1"/>
    </row>
    <row r="28" spans="1:11" ht="35.049999999999997" customHeight="1" x14ac:dyDescent="0.3">
      <c r="A28" s="401" t="s">
        <v>798</v>
      </c>
      <c r="B28" s="24"/>
      <c r="C28" s="434" t="s">
        <v>639</v>
      </c>
      <c r="D28" s="501">
        <v>8.2490000000000006</v>
      </c>
      <c r="E28" s="502">
        <v>0.32600000000000001</v>
      </c>
      <c r="F28" s="503">
        <v>0.10100000000000001</v>
      </c>
      <c r="G28" s="508">
        <v>4.57</v>
      </c>
      <c r="H28" s="509"/>
      <c r="I28" s="399"/>
      <c r="J28" s="500"/>
      <c r="K28" s="1"/>
    </row>
    <row r="29" spans="1:11" ht="35.049999999999997" customHeight="1" x14ac:dyDescent="0.3">
      <c r="A29" s="401" t="s">
        <v>799</v>
      </c>
      <c r="B29" s="24"/>
      <c r="C29" s="391" t="s">
        <v>575</v>
      </c>
      <c r="D29" s="501">
        <v>8.2490000000000006</v>
      </c>
      <c r="E29" s="502">
        <v>0.32600000000000001</v>
      </c>
      <c r="F29" s="503">
        <v>0.10100000000000001</v>
      </c>
      <c r="G29" s="509"/>
      <c r="H29" s="509"/>
      <c r="I29" s="399"/>
      <c r="J29" s="500"/>
      <c r="K29" s="1"/>
    </row>
    <row r="30" spans="1:11" ht="35.049999999999997" customHeight="1" x14ac:dyDescent="0.3">
      <c r="A30" s="401" t="s">
        <v>800</v>
      </c>
      <c r="B30" s="24"/>
      <c r="C30" s="409" t="s">
        <v>640</v>
      </c>
      <c r="D30" s="501">
        <v>6.1769999999999996</v>
      </c>
      <c r="E30" s="502">
        <v>0.24399999999999999</v>
      </c>
      <c r="F30" s="503">
        <v>7.4999999999999997E-2</v>
      </c>
      <c r="G30" s="508">
        <v>2.41</v>
      </c>
      <c r="H30" s="509"/>
      <c r="I30" s="399"/>
      <c r="J30" s="500"/>
      <c r="K30" s="1"/>
    </row>
    <row r="31" spans="1:11" ht="35.049999999999997" customHeight="1" x14ac:dyDescent="0.3">
      <c r="A31" s="401" t="s">
        <v>801</v>
      </c>
      <c r="B31" s="24"/>
      <c r="C31" s="409" t="s">
        <v>640</v>
      </c>
      <c r="D31" s="501">
        <v>6.1769999999999996</v>
      </c>
      <c r="E31" s="502">
        <v>0.24399999999999999</v>
      </c>
      <c r="F31" s="503">
        <v>7.4999999999999997E-2</v>
      </c>
      <c r="G31" s="508">
        <v>3.24</v>
      </c>
      <c r="H31" s="509"/>
      <c r="I31" s="399"/>
      <c r="J31" s="500"/>
      <c r="K31" s="1"/>
    </row>
    <row r="32" spans="1:11" ht="35.049999999999997" customHeight="1" x14ac:dyDescent="0.3">
      <c r="A32" s="401" t="s">
        <v>802</v>
      </c>
      <c r="B32" s="24"/>
      <c r="C32" s="409" t="s">
        <v>640</v>
      </c>
      <c r="D32" s="501">
        <v>6.1769999999999996</v>
      </c>
      <c r="E32" s="502">
        <v>0.24399999999999999</v>
      </c>
      <c r="F32" s="503">
        <v>7.4999999999999997E-2</v>
      </c>
      <c r="G32" s="508">
        <v>7.49</v>
      </c>
      <c r="H32" s="509"/>
      <c r="I32" s="399"/>
      <c r="J32" s="500"/>
      <c r="K32" s="1"/>
    </row>
    <row r="33" spans="1:11" ht="35.049999999999997" customHeight="1" x14ac:dyDescent="0.3">
      <c r="A33" s="401" t="s">
        <v>803</v>
      </c>
      <c r="B33" s="24"/>
      <c r="C33" s="409" t="s">
        <v>640</v>
      </c>
      <c r="D33" s="501">
        <v>6.1769999999999996</v>
      </c>
      <c r="E33" s="502">
        <v>0.24399999999999999</v>
      </c>
      <c r="F33" s="503">
        <v>7.4999999999999997E-2</v>
      </c>
      <c r="G33" s="508">
        <v>14.98</v>
      </c>
      <c r="H33" s="509"/>
      <c r="I33" s="399"/>
      <c r="J33" s="500"/>
      <c r="K33" s="1"/>
    </row>
    <row r="34" spans="1:11" ht="35.049999999999997" customHeight="1" x14ac:dyDescent="0.3">
      <c r="A34" s="401" t="s">
        <v>804</v>
      </c>
      <c r="B34" s="24"/>
      <c r="C34" s="409" t="s">
        <v>640</v>
      </c>
      <c r="D34" s="501">
        <v>6.1769999999999996</v>
      </c>
      <c r="E34" s="502">
        <v>0.24399999999999999</v>
      </c>
      <c r="F34" s="503">
        <v>7.4999999999999997E-2</v>
      </c>
      <c r="G34" s="508">
        <v>39.200000000000003</v>
      </c>
      <c r="H34" s="509"/>
      <c r="I34" s="399"/>
      <c r="J34" s="500"/>
      <c r="K34" s="1"/>
    </row>
    <row r="35" spans="1:11" ht="35.049999999999997" customHeight="1" x14ac:dyDescent="0.3">
      <c r="A35" s="401" t="s">
        <v>584</v>
      </c>
      <c r="B35" s="24"/>
      <c r="C35" s="391" t="s">
        <v>577</v>
      </c>
      <c r="D35" s="501">
        <v>6.1769999999999996</v>
      </c>
      <c r="E35" s="502">
        <v>0.24399999999999999</v>
      </c>
      <c r="F35" s="503">
        <v>7.4999999999999997E-2</v>
      </c>
      <c r="G35" s="509"/>
      <c r="H35" s="509"/>
      <c r="I35" s="399"/>
      <c r="J35" s="500"/>
      <c r="K35" s="1"/>
    </row>
    <row r="36" spans="1:11" ht="35.049999999999997" customHeight="1" x14ac:dyDescent="0.3">
      <c r="A36" s="401" t="s">
        <v>805</v>
      </c>
      <c r="B36" s="24"/>
      <c r="C36" s="395">
        <v>0</v>
      </c>
      <c r="D36" s="501">
        <v>4.6779999999999999</v>
      </c>
      <c r="E36" s="502">
        <v>0.17899999999999999</v>
      </c>
      <c r="F36" s="503">
        <v>5.3999999999999999E-2</v>
      </c>
      <c r="G36" s="508">
        <v>7.5</v>
      </c>
      <c r="H36" s="508">
        <v>1.94</v>
      </c>
      <c r="I36" s="400">
        <v>3.66</v>
      </c>
      <c r="J36" s="499">
        <v>0.155</v>
      </c>
      <c r="K36" s="1"/>
    </row>
    <row r="37" spans="1:11" ht="35.049999999999997" customHeight="1" x14ac:dyDescent="0.3">
      <c r="A37" s="401" t="s">
        <v>806</v>
      </c>
      <c r="B37" s="24"/>
      <c r="C37" s="395">
        <v>0</v>
      </c>
      <c r="D37" s="501">
        <v>4.6779999999999999</v>
      </c>
      <c r="E37" s="502">
        <v>0.17899999999999999</v>
      </c>
      <c r="F37" s="503">
        <v>5.3999999999999999E-2</v>
      </c>
      <c r="G37" s="508">
        <v>69.86</v>
      </c>
      <c r="H37" s="508">
        <v>1.94</v>
      </c>
      <c r="I37" s="400">
        <v>3.66</v>
      </c>
      <c r="J37" s="499">
        <v>0.155</v>
      </c>
      <c r="K37" s="1"/>
    </row>
    <row r="38" spans="1:11" ht="35.049999999999997" customHeight="1" x14ac:dyDescent="0.3">
      <c r="A38" s="401" t="s">
        <v>807</v>
      </c>
      <c r="B38" s="24"/>
      <c r="C38" s="395">
        <v>0</v>
      </c>
      <c r="D38" s="501">
        <v>4.6779999999999999</v>
      </c>
      <c r="E38" s="502">
        <v>0.17899999999999999</v>
      </c>
      <c r="F38" s="503">
        <v>5.3999999999999999E-2</v>
      </c>
      <c r="G38" s="508">
        <v>112.58</v>
      </c>
      <c r="H38" s="508">
        <v>1.94</v>
      </c>
      <c r="I38" s="400">
        <v>3.66</v>
      </c>
      <c r="J38" s="499">
        <v>0.155</v>
      </c>
      <c r="K38" s="1"/>
    </row>
    <row r="39" spans="1:11" ht="35.049999999999997" customHeight="1" x14ac:dyDescent="0.3">
      <c r="A39" s="401" t="s">
        <v>808</v>
      </c>
      <c r="B39" s="24"/>
      <c r="C39" s="395">
        <v>0</v>
      </c>
      <c r="D39" s="501">
        <v>4.6779999999999999</v>
      </c>
      <c r="E39" s="502">
        <v>0.17899999999999999</v>
      </c>
      <c r="F39" s="503">
        <v>5.3999999999999999E-2</v>
      </c>
      <c r="G39" s="508">
        <v>179.1</v>
      </c>
      <c r="H39" s="508">
        <v>1.94</v>
      </c>
      <c r="I39" s="400">
        <v>3.66</v>
      </c>
      <c r="J39" s="499">
        <v>0.155</v>
      </c>
      <c r="K39" s="1"/>
    </row>
    <row r="40" spans="1:11" ht="35.049999999999997" customHeight="1" x14ac:dyDescent="0.3">
      <c r="A40" s="401" t="s">
        <v>809</v>
      </c>
      <c r="B40" s="24"/>
      <c r="C40" s="395">
        <v>0</v>
      </c>
      <c r="D40" s="501">
        <v>4.6779999999999999</v>
      </c>
      <c r="E40" s="502">
        <v>0.17899999999999999</v>
      </c>
      <c r="F40" s="503">
        <v>5.3999999999999999E-2</v>
      </c>
      <c r="G40" s="508">
        <v>389.4</v>
      </c>
      <c r="H40" s="508">
        <v>1.94</v>
      </c>
      <c r="I40" s="400">
        <v>3.66</v>
      </c>
      <c r="J40" s="499">
        <v>0.155</v>
      </c>
      <c r="K40" s="1"/>
    </row>
    <row r="41" spans="1:11" ht="35.049999999999997" customHeight="1" x14ac:dyDescent="0.3">
      <c r="A41" s="401" t="s">
        <v>810</v>
      </c>
      <c r="B41" s="24"/>
      <c r="C41" s="395">
        <v>0</v>
      </c>
      <c r="D41" s="501">
        <v>4.665</v>
      </c>
      <c r="E41" s="502">
        <v>0.16700000000000001</v>
      </c>
      <c r="F41" s="503">
        <v>4.8000000000000001E-2</v>
      </c>
      <c r="G41" s="508">
        <v>8.68</v>
      </c>
      <c r="H41" s="508">
        <v>4.4000000000000004</v>
      </c>
      <c r="I41" s="400">
        <v>5.69</v>
      </c>
      <c r="J41" s="499">
        <v>0.14799999999999999</v>
      </c>
      <c r="K41" s="1"/>
    </row>
    <row r="42" spans="1:11" ht="35.049999999999997" customHeight="1" x14ac:dyDescent="0.3">
      <c r="A42" s="401" t="s">
        <v>811</v>
      </c>
      <c r="B42" s="24"/>
      <c r="C42" s="395">
        <v>0</v>
      </c>
      <c r="D42" s="501">
        <v>4.665</v>
      </c>
      <c r="E42" s="502">
        <v>0.16700000000000001</v>
      </c>
      <c r="F42" s="503">
        <v>4.8000000000000001E-2</v>
      </c>
      <c r="G42" s="508">
        <v>102.02</v>
      </c>
      <c r="H42" s="508">
        <v>4.4000000000000004</v>
      </c>
      <c r="I42" s="400">
        <v>5.69</v>
      </c>
      <c r="J42" s="499">
        <v>0.14799999999999999</v>
      </c>
      <c r="K42" s="1"/>
    </row>
    <row r="43" spans="1:11" ht="35.049999999999997" customHeight="1" x14ac:dyDescent="0.3">
      <c r="A43" s="401" t="s">
        <v>812</v>
      </c>
      <c r="B43" s="24"/>
      <c r="C43" s="395">
        <v>0</v>
      </c>
      <c r="D43" s="501">
        <v>4.665</v>
      </c>
      <c r="E43" s="502">
        <v>0.16700000000000001</v>
      </c>
      <c r="F43" s="503">
        <v>4.8000000000000001E-2</v>
      </c>
      <c r="G43" s="508">
        <v>165.95</v>
      </c>
      <c r="H43" s="508">
        <v>4.4000000000000004</v>
      </c>
      <c r="I43" s="400">
        <v>5.69</v>
      </c>
      <c r="J43" s="499">
        <v>0.14799999999999999</v>
      </c>
      <c r="K43" s="1"/>
    </row>
    <row r="44" spans="1:11" ht="35.049999999999997" customHeight="1" x14ac:dyDescent="0.3">
      <c r="A44" s="401" t="s">
        <v>813</v>
      </c>
      <c r="B44" s="24"/>
      <c r="C44" s="395">
        <v>0</v>
      </c>
      <c r="D44" s="501">
        <v>4.665</v>
      </c>
      <c r="E44" s="502">
        <v>0.16700000000000001</v>
      </c>
      <c r="F44" s="503">
        <v>4.8000000000000001E-2</v>
      </c>
      <c r="G44" s="508">
        <v>265.5</v>
      </c>
      <c r="H44" s="508">
        <v>4.4000000000000004</v>
      </c>
      <c r="I44" s="400">
        <v>5.69</v>
      </c>
      <c r="J44" s="499">
        <v>0.14799999999999999</v>
      </c>
      <c r="K44" s="1"/>
    </row>
    <row r="45" spans="1:11" ht="35.049999999999997" customHeight="1" x14ac:dyDescent="0.3">
      <c r="A45" s="401" t="s">
        <v>814</v>
      </c>
      <c r="B45" s="24"/>
      <c r="C45" s="395">
        <v>0</v>
      </c>
      <c r="D45" s="501">
        <v>4.665</v>
      </c>
      <c r="E45" s="502">
        <v>0.16700000000000001</v>
      </c>
      <c r="F45" s="503">
        <v>4.8000000000000001E-2</v>
      </c>
      <c r="G45" s="508">
        <v>580.24</v>
      </c>
      <c r="H45" s="508">
        <v>4.4000000000000004</v>
      </c>
      <c r="I45" s="400">
        <v>5.69</v>
      </c>
      <c r="J45" s="499">
        <v>0.14799999999999999</v>
      </c>
      <c r="K45" s="1"/>
    </row>
    <row r="46" spans="1:11" ht="35.049999999999997" customHeight="1" x14ac:dyDescent="0.3">
      <c r="A46" s="401" t="s">
        <v>815</v>
      </c>
      <c r="B46" s="24"/>
      <c r="C46" s="395">
        <v>0</v>
      </c>
      <c r="D46" s="501">
        <v>4.2859999999999996</v>
      </c>
      <c r="E46" s="502">
        <v>0.14799999999999999</v>
      </c>
      <c r="F46" s="503">
        <v>0.04</v>
      </c>
      <c r="G46" s="508">
        <v>120.72</v>
      </c>
      <c r="H46" s="508">
        <v>3.72</v>
      </c>
      <c r="I46" s="400">
        <v>5.68</v>
      </c>
      <c r="J46" s="499">
        <v>0.13600000000000001</v>
      </c>
      <c r="K46" s="1"/>
    </row>
    <row r="47" spans="1:11" ht="35.049999999999997" customHeight="1" x14ac:dyDescent="0.3">
      <c r="A47" s="401" t="s">
        <v>816</v>
      </c>
      <c r="B47" s="24"/>
      <c r="C47" s="395">
        <v>0</v>
      </c>
      <c r="D47" s="501">
        <v>4.2859999999999996</v>
      </c>
      <c r="E47" s="502">
        <v>0.14799999999999999</v>
      </c>
      <c r="F47" s="503">
        <v>0.04</v>
      </c>
      <c r="G47" s="508">
        <v>548.46</v>
      </c>
      <c r="H47" s="508">
        <v>3.72</v>
      </c>
      <c r="I47" s="400">
        <v>5.68</v>
      </c>
      <c r="J47" s="499">
        <v>0.13600000000000001</v>
      </c>
      <c r="K47" s="1"/>
    </row>
    <row r="48" spans="1:11" ht="35.049999999999997" customHeight="1" x14ac:dyDescent="0.3">
      <c r="A48" s="401" t="s">
        <v>817</v>
      </c>
      <c r="B48" s="24"/>
      <c r="C48" s="395">
        <v>0</v>
      </c>
      <c r="D48" s="501">
        <v>4.2859999999999996</v>
      </c>
      <c r="E48" s="502">
        <v>0.14799999999999999</v>
      </c>
      <c r="F48" s="503">
        <v>0.04</v>
      </c>
      <c r="G48" s="508">
        <v>2536.1</v>
      </c>
      <c r="H48" s="508">
        <v>3.72</v>
      </c>
      <c r="I48" s="400">
        <v>5.68</v>
      </c>
      <c r="J48" s="499">
        <v>0.13600000000000001</v>
      </c>
      <c r="K48" s="1"/>
    </row>
    <row r="49" spans="1:11" ht="35.049999999999997" customHeight="1" x14ac:dyDescent="0.3">
      <c r="A49" s="401" t="s">
        <v>818</v>
      </c>
      <c r="B49" s="24"/>
      <c r="C49" s="395">
        <v>0</v>
      </c>
      <c r="D49" s="501">
        <v>4.2859999999999996</v>
      </c>
      <c r="E49" s="502">
        <v>0.14799999999999999</v>
      </c>
      <c r="F49" s="503">
        <v>0.04</v>
      </c>
      <c r="G49" s="508">
        <v>2225.46</v>
      </c>
      <c r="H49" s="508">
        <v>3.72</v>
      </c>
      <c r="I49" s="400">
        <v>5.68</v>
      </c>
      <c r="J49" s="499">
        <v>0.13600000000000001</v>
      </c>
      <c r="K49" s="1"/>
    </row>
    <row r="50" spans="1:11" ht="35.049999999999997" customHeight="1" x14ac:dyDescent="0.3">
      <c r="A50" s="401" t="s">
        <v>819</v>
      </c>
      <c r="B50" s="24"/>
      <c r="C50" s="395">
        <v>0</v>
      </c>
      <c r="D50" s="501">
        <v>4.2859999999999996</v>
      </c>
      <c r="E50" s="502">
        <v>0.14799999999999999</v>
      </c>
      <c r="F50" s="503">
        <v>0.04</v>
      </c>
      <c r="G50" s="508">
        <v>5549.02</v>
      </c>
      <c r="H50" s="508">
        <v>3.72</v>
      </c>
      <c r="I50" s="400">
        <v>5.68</v>
      </c>
      <c r="J50" s="499">
        <v>0.13600000000000001</v>
      </c>
      <c r="K50" s="1"/>
    </row>
    <row r="51" spans="1:11" ht="35.049999999999997" customHeight="1" x14ac:dyDescent="0.3">
      <c r="A51" s="401" t="s">
        <v>585</v>
      </c>
      <c r="B51" s="24"/>
      <c r="C51" s="395" t="s">
        <v>616</v>
      </c>
      <c r="D51" s="504">
        <v>21.045999999999999</v>
      </c>
      <c r="E51" s="505">
        <v>0.89700000000000002</v>
      </c>
      <c r="F51" s="503">
        <v>0.73699999999999999</v>
      </c>
      <c r="G51" s="509"/>
      <c r="H51" s="509"/>
      <c r="I51" s="399"/>
      <c r="J51" s="500"/>
      <c r="K51" s="1"/>
    </row>
    <row r="52" spans="1:11" ht="35.049999999999997" customHeight="1" x14ac:dyDescent="0.3">
      <c r="A52" s="401" t="s">
        <v>688</v>
      </c>
      <c r="B52" s="24"/>
      <c r="C52" s="406">
        <v>0</v>
      </c>
      <c r="D52" s="501">
        <v>-9.1539999999999999</v>
      </c>
      <c r="E52" s="502">
        <v>-0.36199999999999999</v>
      </c>
      <c r="F52" s="503">
        <v>-0.112</v>
      </c>
      <c r="G52" s="508">
        <v>0</v>
      </c>
      <c r="H52" s="509"/>
      <c r="I52" s="399"/>
      <c r="J52" s="500"/>
      <c r="K52" s="1"/>
    </row>
    <row r="53" spans="1:11" ht="35.049999999999997" customHeight="1" x14ac:dyDescent="0.3">
      <c r="A53" s="401" t="s">
        <v>689</v>
      </c>
      <c r="B53" s="397"/>
      <c r="C53" s="406">
        <v>0</v>
      </c>
      <c r="D53" s="501">
        <v>-8.0250000000000004</v>
      </c>
      <c r="E53" s="502">
        <v>-0.311</v>
      </c>
      <c r="F53" s="503">
        <v>-9.5000000000000001E-2</v>
      </c>
      <c r="G53" s="508">
        <v>0</v>
      </c>
      <c r="H53" s="509"/>
      <c r="I53" s="399"/>
      <c r="J53" s="500"/>
      <c r="K53" s="1"/>
    </row>
    <row r="54" spans="1:11" ht="35.049999999999997" customHeight="1" x14ac:dyDescent="0.3">
      <c r="A54" s="401" t="s">
        <v>599</v>
      </c>
      <c r="B54" s="24"/>
      <c r="C54" s="406">
        <v>0</v>
      </c>
      <c r="D54" s="501">
        <v>-9.1539999999999999</v>
      </c>
      <c r="E54" s="502">
        <v>-0.36199999999999999</v>
      </c>
      <c r="F54" s="503">
        <v>-0.112</v>
      </c>
      <c r="G54" s="508">
        <v>0</v>
      </c>
      <c r="H54" s="509"/>
      <c r="I54" s="399"/>
      <c r="J54" s="499">
        <v>0.27100000000000002</v>
      </c>
      <c r="K54" s="1"/>
    </row>
    <row r="55" spans="1:11" ht="35.049999999999997" customHeight="1" x14ac:dyDescent="0.3">
      <c r="A55" s="401" t="s">
        <v>690</v>
      </c>
      <c r="B55" s="24"/>
      <c r="C55" s="406">
        <v>0</v>
      </c>
      <c r="D55" s="501">
        <v>-8.0250000000000004</v>
      </c>
      <c r="E55" s="502">
        <v>-0.311</v>
      </c>
      <c r="F55" s="503">
        <v>-9.5000000000000001E-2</v>
      </c>
      <c r="G55" s="508">
        <v>0</v>
      </c>
      <c r="H55" s="509"/>
      <c r="I55" s="399"/>
      <c r="J55" s="499">
        <v>0.24099999999999999</v>
      </c>
      <c r="K55" s="1"/>
    </row>
    <row r="56" spans="1:11" ht="35.049999999999997" customHeight="1" x14ac:dyDescent="0.3">
      <c r="A56" s="401" t="s">
        <v>600</v>
      </c>
      <c r="B56" s="24"/>
      <c r="C56" s="406">
        <v>0</v>
      </c>
      <c r="D56" s="501">
        <v>-5.5039999999999996</v>
      </c>
      <c r="E56" s="502">
        <v>-0.19500000000000001</v>
      </c>
      <c r="F56" s="503">
        <v>-5.5E-2</v>
      </c>
      <c r="G56" s="508">
        <v>0</v>
      </c>
      <c r="H56" s="509"/>
      <c r="I56" s="399"/>
      <c r="J56" s="499">
        <v>0.19400000000000001</v>
      </c>
      <c r="K56" s="1"/>
    </row>
    <row r="57" spans="1:11" ht="35.049999999999997" customHeight="1" x14ac:dyDescent="0.3">
      <c r="A57" s="398" t="s">
        <v>820</v>
      </c>
      <c r="B57" s="24"/>
      <c r="C57" s="434" t="s">
        <v>639</v>
      </c>
      <c r="D57" s="501">
        <v>6.0190000000000001</v>
      </c>
      <c r="E57" s="502">
        <v>0.23799999999999999</v>
      </c>
      <c r="F57" s="503">
        <v>7.2999999999999995E-2</v>
      </c>
      <c r="G57" s="508">
        <v>3.41</v>
      </c>
      <c r="H57" s="509"/>
      <c r="I57" s="399"/>
      <c r="J57" s="500"/>
      <c r="K57" s="1"/>
    </row>
    <row r="58" spans="1:11" ht="35.049999999999997" customHeight="1" x14ac:dyDescent="0.3">
      <c r="A58" s="398" t="s">
        <v>821</v>
      </c>
      <c r="B58" s="24"/>
      <c r="C58" s="391" t="s">
        <v>575</v>
      </c>
      <c r="D58" s="501">
        <v>6.0190000000000001</v>
      </c>
      <c r="E58" s="502">
        <v>0.23799999999999999</v>
      </c>
      <c r="F58" s="503">
        <v>7.2999999999999995E-2</v>
      </c>
      <c r="G58" s="509"/>
      <c r="H58" s="509"/>
      <c r="I58" s="399"/>
      <c r="J58" s="500"/>
      <c r="K58" s="1"/>
    </row>
    <row r="59" spans="1:11" ht="35.049999999999997" customHeight="1" x14ac:dyDescent="0.3">
      <c r="A59" s="398" t="s">
        <v>822</v>
      </c>
      <c r="B59" s="24"/>
      <c r="C59" s="409" t="s">
        <v>640</v>
      </c>
      <c r="D59" s="501">
        <v>4.5069999999999997</v>
      </c>
      <c r="E59" s="502">
        <v>0.17799999999999999</v>
      </c>
      <c r="F59" s="503">
        <v>5.5E-2</v>
      </c>
      <c r="G59" s="508">
        <v>1.81</v>
      </c>
      <c r="H59" s="509"/>
      <c r="I59" s="399"/>
      <c r="J59" s="500"/>
      <c r="K59" s="1"/>
    </row>
    <row r="60" spans="1:11" ht="35.049999999999997" customHeight="1" x14ac:dyDescent="0.3">
      <c r="A60" s="398" t="s">
        <v>823</v>
      </c>
      <c r="B60" s="24"/>
      <c r="C60" s="409" t="s">
        <v>640</v>
      </c>
      <c r="D60" s="501">
        <v>4.5069999999999997</v>
      </c>
      <c r="E60" s="502">
        <v>0.17799999999999999</v>
      </c>
      <c r="F60" s="503">
        <v>5.5E-2</v>
      </c>
      <c r="G60" s="508">
        <v>2.42</v>
      </c>
      <c r="H60" s="509"/>
      <c r="I60" s="399"/>
      <c r="J60" s="500"/>
      <c r="K60" s="1"/>
    </row>
    <row r="61" spans="1:11" ht="35.049999999999997" customHeight="1" x14ac:dyDescent="0.3">
      <c r="A61" s="398" t="s">
        <v>824</v>
      </c>
      <c r="B61" s="24"/>
      <c r="C61" s="409" t="s">
        <v>640</v>
      </c>
      <c r="D61" s="501">
        <v>4.5069999999999997</v>
      </c>
      <c r="E61" s="502">
        <v>0.17799999999999999</v>
      </c>
      <c r="F61" s="503">
        <v>5.5E-2</v>
      </c>
      <c r="G61" s="508">
        <v>5.52</v>
      </c>
      <c r="H61" s="509"/>
      <c r="I61" s="399"/>
      <c r="J61" s="500"/>
      <c r="K61" s="1"/>
    </row>
    <row r="62" spans="1:11" ht="35.049999999999997" customHeight="1" x14ac:dyDescent="0.3">
      <c r="A62" s="398" t="s">
        <v>825</v>
      </c>
      <c r="B62" s="24"/>
      <c r="C62" s="409" t="s">
        <v>640</v>
      </c>
      <c r="D62" s="501">
        <v>4.5069999999999997</v>
      </c>
      <c r="E62" s="502">
        <v>0.17799999999999999</v>
      </c>
      <c r="F62" s="503">
        <v>5.5E-2</v>
      </c>
      <c r="G62" s="508">
        <v>10.99</v>
      </c>
      <c r="H62" s="509"/>
      <c r="I62" s="399"/>
      <c r="J62" s="500"/>
      <c r="K62" s="1"/>
    </row>
    <row r="63" spans="1:11" ht="35.049999999999997" customHeight="1" x14ac:dyDescent="0.3">
      <c r="A63" s="398" t="s">
        <v>826</v>
      </c>
      <c r="B63" s="24"/>
      <c r="C63" s="409" t="s">
        <v>640</v>
      </c>
      <c r="D63" s="501">
        <v>4.5069999999999997</v>
      </c>
      <c r="E63" s="502">
        <v>0.17799999999999999</v>
      </c>
      <c r="F63" s="503">
        <v>5.5E-2</v>
      </c>
      <c r="G63" s="508">
        <v>28.65</v>
      </c>
      <c r="H63" s="509"/>
      <c r="I63" s="399"/>
      <c r="J63" s="500"/>
      <c r="K63" s="1"/>
    </row>
    <row r="64" spans="1:11" ht="35.049999999999997" customHeight="1" x14ac:dyDescent="0.3">
      <c r="A64" s="398" t="s">
        <v>586</v>
      </c>
      <c r="B64" s="24"/>
      <c r="C64" s="391" t="s">
        <v>577</v>
      </c>
      <c r="D64" s="501">
        <v>4.5069999999999997</v>
      </c>
      <c r="E64" s="502">
        <v>0.17799999999999999</v>
      </c>
      <c r="F64" s="503">
        <v>5.5E-2</v>
      </c>
      <c r="G64" s="509"/>
      <c r="H64" s="509"/>
      <c r="I64" s="399"/>
      <c r="J64" s="500"/>
      <c r="K64" s="1"/>
    </row>
    <row r="65" spans="1:11" ht="35.049999999999997" customHeight="1" x14ac:dyDescent="0.3">
      <c r="A65" s="398" t="s">
        <v>827</v>
      </c>
      <c r="B65" s="24"/>
      <c r="C65" s="395">
        <v>0</v>
      </c>
      <c r="D65" s="501">
        <v>3.4129999999999998</v>
      </c>
      <c r="E65" s="502">
        <v>0.13100000000000001</v>
      </c>
      <c r="F65" s="503">
        <v>3.9E-2</v>
      </c>
      <c r="G65" s="508">
        <v>5.53</v>
      </c>
      <c r="H65" s="508">
        <v>1.42</v>
      </c>
      <c r="I65" s="400">
        <v>2.67</v>
      </c>
      <c r="J65" s="499">
        <v>0.113</v>
      </c>
      <c r="K65" s="1"/>
    </row>
    <row r="66" spans="1:11" ht="35.049999999999997" customHeight="1" x14ac:dyDescent="0.3">
      <c r="A66" s="398" t="s">
        <v>828</v>
      </c>
      <c r="B66" s="24"/>
      <c r="C66" s="395">
        <v>0</v>
      </c>
      <c r="D66" s="501">
        <v>3.4129999999999998</v>
      </c>
      <c r="E66" s="502">
        <v>0.13100000000000001</v>
      </c>
      <c r="F66" s="503">
        <v>3.9E-2</v>
      </c>
      <c r="G66" s="508">
        <v>51.03</v>
      </c>
      <c r="H66" s="508">
        <v>1.42</v>
      </c>
      <c r="I66" s="400">
        <v>2.67</v>
      </c>
      <c r="J66" s="499">
        <v>0.113</v>
      </c>
      <c r="K66" s="1"/>
    </row>
    <row r="67" spans="1:11" ht="35.049999999999997" customHeight="1" x14ac:dyDescent="0.3">
      <c r="A67" s="398" t="s">
        <v>829</v>
      </c>
      <c r="B67" s="24"/>
      <c r="C67" s="395">
        <v>0</v>
      </c>
      <c r="D67" s="501">
        <v>3.4129999999999998</v>
      </c>
      <c r="E67" s="502">
        <v>0.13100000000000001</v>
      </c>
      <c r="F67" s="503">
        <v>3.9E-2</v>
      </c>
      <c r="G67" s="508">
        <v>82.19</v>
      </c>
      <c r="H67" s="508">
        <v>1.42</v>
      </c>
      <c r="I67" s="400">
        <v>2.67</v>
      </c>
      <c r="J67" s="499">
        <v>0.113</v>
      </c>
      <c r="K67" s="1"/>
    </row>
    <row r="68" spans="1:11" ht="35.049999999999997" customHeight="1" x14ac:dyDescent="0.3">
      <c r="A68" s="398" t="s">
        <v>830</v>
      </c>
      <c r="B68" s="24"/>
      <c r="C68" s="395">
        <v>0</v>
      </c>
      <c r="D68" s="501">
        <v>3.4129999999999998</v>
      </c>
      <c r="E68" s="502">
        <v>0.13100000000000001</v>
      </c>
      <c r="F68" s="503">
        <v>3.9E-2</v>
      </c>
      <c r="G68" s="508">
        <v>130.72</v>
      </c>
      <c r="H68" s="508">
        <v>1.42</v>
      </c>
      <c r="I68" s="400">
        <v>2.67</v>
      </c>
      <c r="J68" s="499">
        <v>0.113</v>
      </c>
      <c r="K68" s="1"/>
    </row>
    <row r="69" spans="1:11" ht="35.049999999999997" customHeight="1" x14ac:dyDescent="0.3">
      <c r="A69" s="398" t="s">
        <v>831</v>
      </c>
      <c r="B69" s="24"/>
      <c r="C69" s="395">
        <v>0</v>
      </c>
      <c r="D69" s="501">
        <v>3.4129999999999998</v>
      </c>
      <c r="E69" s="502">
        <v>0.13100000000000001</v>
      </c>
      <c r="F69" s="503">
        <v>3.9E-2</v>
      </c>
      <c r="G69" s="508">
        <v>284.16000000000003</v>
      </c>
      <c r="H69" s="508">
        <v>1.42</v>
      </c>
      <c r="I69" s="400">
        <v>2.67</v>
      </c>
      <c r="J69" s="499">
        <v>0.113</v>
      </c>
      <c r="K69" s="1"/>
    </row>
    <row r="70" spans="1:11" ht="35.049999999999997" customHeight="1" x14ac:dyDescent="0.3">
      <c r="A70" s="398" t="s">
        <v>832</v>
      </c>
      <c r="B70" s="24"/>
      <c r="C70" s="395">
        <v>0</v>
      </c>
      <c r="D70" s="501">
        <v>3.3650000000000002</v>
      </c>
      <c r="E70" s="502">
        <v>0.121</v>
      </c>
      <c r="F70" s="503">
        <v>3.4000000000000002E-2</v>
      </c>
      <c r="G70" s="508">
        <v>6.32</v>
      </c>
      <c r="H70" s="508">
        <v>3.17</v>
      </c>
      <c r="I70" s="400">
        <v>4.0999999999999996</v>
      </c>
      <c r="J70" s="499">
        <v>0.107</v>
      </c>
      <c r="K70" s="1"/>
    </row>
    <row r="71" spans="1:11" ht="35.049999999999997" customHeight="1" x14ac:dyDescent="0.3">
      <c r="A71" s="398" t="s">
        <v>833</v>
      </c>
      <c r="B71" s="24"/>
      <c r="C71" s="395">
        <v>0</v>
      </c>
      <c r="D71" s="501">
        <v>3.3650000000000002</v>
      </c>
      <c r="E71" s="502">
        <v>0.121</v>
      </c>
      <c r="F71" s="503">
        <v>3.4000000000000002E-2</v>
      </c>
      <c r="G71" s="508">
        <v>73.66</v>
      </c>
      <c r="H71" s="508">
        <v>3.17</v>
      </c>
      <c r="I71" s="400">
        <v>4.0999999999999996</v>
      </c>
      <c r="J71" s="499">
        <v>0.107</v>
      </c>
      <c r="K71" s="1"/>
    </row>
    <row r="72" spans="1:11" ht="35.049999999999997" customHeight="1" x14ac:dyDescent="0.3">
      <c r="A72" s="398" t="s">
        <v>834</v>
      </c>
      <c r="B72" s="24"/>
      <c r="C72" s="395">
        <v>0</v>
      </c>
      <c r="D72" s="501">
        <v>3.3650000000000002</v>
      </c>
      <c r="E72" s="502">
        <v>0.121</v>
      </c>
      <c r="F72" s="503">
        <v>3.4000000000000002E-2</v>
      </c>
      <c r="G72" s="508">
        <v>119.78</v>
      </c>
      <c r="H72" s="508">
        <v>3.17</v>
      </c>
      <c r="I72" s="400">
        <v>4.0999999999999996</v>
      </c>
      <c r="J72" s="499">
        <v>0.107</v>
      </c>
      <c r="K72" s="1"/>
    </row>
    <row r="73" spans="1:11" ht="35.049999999999997" customHeight="1" x14ac:dyDescent="0.3">
      <c r="A73" s="398" t="s">
        <v>835</v>
      </c>
      <c r="B73" s="24"/>
      <c r="C73" s="395">
        <v>0</v>
      </c>
      <c r="D73" s="501">
        <v>3.3650000000000002</v>
      </c>
      <c r="E73" s="502">
        <v>0.121</v>
      </c>
      <c r="F73" s="503">
        <v>3.4000000000000002E-2</v>
      </c>
      <c r="G73" s="508">
        <v>191.6</v>
      </c>
      <c r="H73" s="508">
        <v>3.17</v>
      </c>
      <c r="I73" s="400">
        <v>4.0999999999999996</v>
      </c>
      <c r="J73" s="499">
        <v>0.107</v>
      </c>
      <c r="K73" s="1"/>
    </row>
    <row r="74" spans="1:11" ht="35.049999999999997" customHeight="1" x14ac:dyDescent="0.3">
      <c r="A74" s="398" t="s">
        <v>836</v>
      </c>
      <c r="B74" s="24"/>
      <c r="C74" s="395">
        <v>0</v>
      </c>
      <c r="D74" s="501">
        <v>3.3650000000000002</v>
      </c>
      <c r="E74" s="502">
        <v>0.121</v>
      </c>
      <c r="F74" s="503">
        <v>3.4000000000000002E-2</v>
      </c>
      <c r="G74" s="508">
        <v>418.67</v>
      </c>
      <c r="H74" s="508">
        <v>3.17</v>
      </c>
      <c r="I74" s="400">
        <v>4.0999999999999996</v>
      </c>
      <c r="J74" s="499">
        <v>0.107</v>
      </c>
      <c r="K74" s="1"/>
    </row>
    <row r="75" spans="1:11" ht="35.049999999999997" customHeight="1" x14ac:dyDescent="0.3">
      <c r="A75" s="398" t="s">
        <v>837</v>
      </c>
      <c r="B75" s="24"/>
      <c r="C75" s="395">
        <v>0</v>
      </c>
      <c r="D75" s="501">
        <v>3.08</v>
      </c>
      <c r="E75" s="502">
        <v>0.106</v>
      </c>
      <c r="F75" s="503">
        <v>2.8000000000000001E-2</v>
      </c>
      <c r="G75" s="508">
        <v>86.8</v>
      </c>
      <c r="H75" s="508">
        <v>2.67</v>
      </c>
      <c r="I75" s="400">
        <v>4.08</v>
      </c>
      <c r="J75" s="499">
        <v>9.7000000000000003E-2</v>
      </c>
      <c r="K75" s="1"/>
    </row>
    <row r="76" spans="1:11" ht="35.049999999999997" customHeight="1" x14ac:dyDescent="0.3">
      <c r="A76" s="398" t="s">
        <v>838</v>
      </c>
      <c r="B76" s="24"/>
      <c r="C76" s="395">
        <v>0</v>
      </c>
      <c r="D76" s="501">
        <v>3.08</v>
      </c>
      <c r="E76" s="502">
        <v>0.106</v>
      </c>
      <c r="F76" s="503">
        <v>2.8000000000000001E-2</v>
      </c>
      <c r="G76" s="508">
        <v>394.15</v>
      </c>
      <c r="H76" s="508">
        <v>2.67</v>
      </c>
      <c r="I76" s="400">
        <v>4.08</v>
      </c>
      <c r="J76" s="499">
        <v>9.7000000000000003E-2</v>
      </c>
      <c r="K76" s="1"/>
    </row>
    <row r="77" spans="1:11" ht="35.049999999999997" customHeight="1" x14ac:dyDescent="0.3">
      <c r="A77" s="398" t="s">
        <v>839</v>
      </c>
      <c r="B77" s="24"/>
      <c r="C77" s="395">
        <v>0</v>
      </c>
      <c r="D77" s="501">
        <v>3.08</v>
      </c>
      <c r="E77" s="502">
        <v>0.106</v>
      </c>
      <c r="F77" s="503">
        <v>2.8000000000000001E-2</v>
      </c>
      <c r="G77" s="508">
        <v>1822.34</v>
      </c>
      <c r="H77" s="508">
        <v>2.67</v>
      </c>
      <c r="I77" s="400">
        <v>4.08</v>
      </c>
      <c r="J77" s="499">
        <v>9.7000000000000003E-2</v>
      </c>
      <c r="K77" s="1"/>
    </row>
    <row r="78" spans="1:11" ht="35.049999999999997" customHeight="1" x14ac:dyDescent="0.3">
      <c r="A78" s="398" t="s">
        <v>840</v>
      </c>
      <c r="B78" s="24"/>
      <c r="C78" s="395">
        <v>0</v>
      </c>
      <c r="D78" s="501">
        <v>3.08</v>
      </c>
      <c r="E78" s="502">
        <v>0.106</v>
      </c>
      <c r="F78" s="503">
        <v>2.8000000000000001E-2</v>
      </c>
      <c r="G78" s="508">
        <v>1599.13</v>
      </c>
      <c r="H78" s="508">
        <v>2.67</v>
      </c>
      <c r="I78" s="400">
        <v>4.08</v>
      </c>
      <c r="J78" s="499">
        <v>9.7000000000000003E-2</v>
      </c>
      <c r="K78" s="1"/>
    </row>
    <row r="79" spans="1:11" ht="35.049999999999997" customHeight="1" x14ac:dyDescent="0.3">
      <c r="A79" s="398" t="s">
        <v>841</v>
      </c>
      <c r="B79" s="24"/>
      <c r="C79" s="395">
        <v>0</v>
      </c>
      <c r="D79" s="501">
        <v>3.08</v>
      </c>
      <c r="E79" s="502">
        <v>0.106</v>
      </c>
      <c r="F79" s="503">
        <v>2.8000000000000001E-2</v>
      </c>
      <c r="G79" s="508">
        <v>3987.23</v>
      </c>
      <c r="H79" s="508">
        <v>2.67</v>
      </c>
      <c r="I79" s="400">
        <v>4.08</v>
      </c>
      <c r="J79" s="499">
        <v>9.7000000000000003E-2</v>
      </c>
      <c r="K79" s="1"/>
    </row>
    <row r="80" spans="1:11" ht="35.049999999999997" customHeight="1" x14ac:dyDescent="0.3">
      <c r="A80" s="398" t="s">
        <v>587</v>
      </c>
      <c r="B80" s="24"/>
      <c r="C80" s="395" t="s">
        <v>616</v>
      </c>
      <c r="D80" s="504">
        <v>15.355</v>
      </c>
      <c r="E80" s="505">
        <v>0.65400000000000003</v>
      </c>
      <c r="F80" s="503">
        <v>0.53800000000000003</v>
      </c>
      <c r="G80" s="509"/>
      <c r="H80" s="509"/>
      <c r="I80" s="399"/>
      <c r="J80" s="500"/>
      <c r="K80" s="1"/>
    </row>
    <row r="81" spans="1:11" ht="35.049999999999997" customHeight="1" x14ac:dyDescent="0.3">
      <c r="A81" s="398" t="s">
        <v>691</v>
      </c>
      <c r="B81" s="24"/>
      <c r="C81" s="406">
        <v>0</v>
      </c>
      <c r="D81" s="501">
        <v>-5.1749999999999998</v>
      </c>
      <c r="E81" s="502">
        <v>-0.20399999999999999</v>
      </c>
      <c r="F81" s="503">
        <v>-6.3E-2</v>
      </c>
      <c r="G81" s="508">
        <v>0</v>
      </c>
      <c r="H81" s="509"/>
      <c r="I81" s="399"/>
      <c r="J81" s="500"/>
      <c r="K81" s="1"/>
    </row>
    <row r="82" spans="1:11" ht="35.049999999999997" customHeight="1" x14ac:dyDescent="0.3">
      <c r="A82" s="398" t="s">
        <v>692</v>
      </c>
      <c r="B82" s="397"/>
      <c r="C82" s="406">
        <v>0</v>
      </c>
      <c r="D82" s="501">
        <v>-5.0410000000000004</v>
      </c>
      <c r="E82" s="502">
        <v>-0.19600000000000001</v>
      </c>
      <c r="F82" s="503">
        <v>-5.8999999999999997E-2</v>
      </c>
      <c r="G82" s="508">
        <v>0</v>
      </c>
      <c r="H82" s="509"/>
      <c r="I82" s="399"/>
      <c r="J82" s="500"/>
      <c r="K82" s="1"/>
    </row>
    <row r="83" spans="1:11" ht="35.049999999999997" customHeight="1" x14ac:dyDescent="0.3">
      <c r="A83" s="398" t="s">
        <v>693</v>
      </c>
      <c r="B83" s="24"/>
      <c r="C83" s="406">
        <v>0</v>
      </c>
      <c r="D83" s="501">
        <v>-5.1749999999999998</v>
      </c>
      <c r="E83" s="502">
        <v>-0.20399999999999999</v>
      </c>
      <c r="F83" s="503">
        <v>-6.3E-2</v>
      </c>
      <c r="G83" s="508">
        <v>0</v>
      </c>
      <c r="H83" s="509"/>
      <c r="I83" s="399"/>
      <c r="J83" s="499">
        <v>0.153</v>
      </c>
      <c r="K83" s="1"/>
    </row>
    <row r="84" spans="1:11" ht="35.049999999999997" customHeight="1" x14ac:dyDescent="0.3">
      <c r="A84" s="398" t="s">
        <v>694</v>
      </c>
      <c r="B84" s="24"/>
      <c r="C84" s="406">
        <v>0</v>
      </c>
      <c r="D84" s="501">
        <v>-5.0410000000000004</v>
      </c>
      <c r="E84" s="502">
        <v>-0.19600000000000001</v>
      </c>
      <c r="F84" s="503">
        <v>-5.8999999999999997E-2</v>
      </c>
      <c r="G84" s="508">
        <v>0</v>
      </c>
      <c r="H84" s="509"/>
      <c r="I84" s="399"/>
      <c r="J84" s="499">
        <v>0.152</v>
      </c>
      <c r="K84" s="1"/>
    </row>
    <row r="85" spans="1:11" ht="35.049999999999997" customHeight="1" x14ac:dyDescent="0.3">
      <c r="A85" s="398" t="s">
        <v>695</v>
      </c>
      <c r="B85" s="24"/>
      <c r="C85" s="406">
        <v>0</v>
      </c>
      <c r="D85" s="501">
        <v>-5.5039999999999996</v>
      </c>
      <c r="E85" s="502">
        <v>-0.19500000000000001</v>
      </c>
      <c r="F85" s="503">
        <v>-5.5E-2</v>
      </c>
      <c r="G85" s="508">
        <v>10.72</v>
      </c>
      <c r="H85" s="509"/>
      <c r="I85" s="399"/>
      <c r="J85" s="499">
        <v>0.19400000000000001</v>
      </c>
      <c r="K85" s="1"/>
    </row>
    <row r="86" spans="1:11" ht="35.049999999999997" customHeight="1" x14ac:dyDescent="0.3">
      <c r="A86" s="398" t="s">
        <v>842</v>
      </c>
      <c r="B86" s="24"/>
      <c r="C86" s="434" t="s">
        <v>639</v>
      </c>
      <c r="D86" s="501">
        <v>4.8979999999999997</v>
      </c>
      <c r="E86" s="502">
        <v>0.19400000000000001</v>
      </c>
      <c r="F86" s="503">
        <v>0.06</v>
      </c>
      <c r="G86" s="508">
        <v>2.83</v>
      </c>
      <c r="H86" s="509"/>
      <c r="I86" s="399"/>
      <c r="J86" s="500"/>
      <c r="K86" s="1"/>
    </row>
    <row r="87" spans="1:11" ht="35.049999999999997" customHeight="1" x14ac:dyDescent="0.3">
      <c r="A87" s="398" t="s">
        <v>843</v>
      </c>
      <c r="B87" s="24"/>
      <c r="C87" s="391" t="s">
        <v>575</v>
      </c>
      <c r="D87" s="501">
        <v>4.8979999999999997</v>
      </c>
      <c r="E87" s="502">
        <v>0.19400000000000001</v>
      </c>
      <c r="F87" s="503">
        <v>0.06</v>
      </c>
      <c r="G87" s="509"/>
      <c r="H87" s="509"/>
      <c r="I87" s="399"/>
      <c r="J87" s="500"/>
      <c r="K87" s="1"/>
    </row>
    <row r="88" spans="1:11" ht="35.049999999999997" customHeight="1" x14ac:dyDescent="0.3">
      <c r="A88" s="398" t="s">
        <v>844</v>
      </c>
      <c r="B88" s="24"/>
      <c r="C88" s="409" t="s">
        <v>640</v>
      </c>
      <c r="D88" s="501">
        <v>3.6680000000000001</v>
      </c>
      <c r="E88" s="502">
        <v>0.14499999999999999</v>
      </c>
      <c r="F88" s="503">
        <v>4.4999999999999998E-2</v>
      </c>
      <c r="G88" s="508">
        <v>1.51</v>
      </c>
      <c r="H88" s="509"/>
      <c r="I88" s="399"/>
      <c r="J88" s="500"/>
      <c r="K88" s="1"/>
    </row>
    <row r="89" spans="1:11" ht="35.049999999999997" customHeight="1" x14ac:dyDescent="0.3">
      <c r="A89" s="398" t="s">
        <v>845</v>
      </c>
      <c r="B89" s="24"/>
      <c r="C89" s="409" t="s">
        <v>640</v>
      </c>
      <c r="D89" s="501">
        <v>3.6680000000000001</v>
      </c>
      <c r="E89" s="502">
        <v>0.14499999999999999</v>
      </c>
      <c r="F89" s="503">
        <v>4.4999999999999998E-2</v>
      </c>
      <c r="G89" s="508">
        <v>2.0099999999999998</v>
      </c>
      <c r="H89" s="509"/>
      <c r="I89" s="399"/>
      <c r="J89" s="500"/>
      <c r="K89" s="1"/>
    </row>
    <row r="90" spans="1:11" ht="35.049999999999997" customHeight="1" x14ac:dyDescent="0.3">
      <c r="A90" s="398" t="s">
        <v>846</v>
      </c>
      <c r="B90" s="24"/>
      <c r="C90" s="409" t="s">
        <v>640</v>
      </c>
      <c r="D90" s="501">
        <v>3.6680000000000001</v>
      </c>
      <c r="E90" s="502">
        <v>0.14499999999999999</v>
      </c>
      <c r="F90" s="503">
        <v>4.4999999999999998E-2</v>
      </c>
      <c r="G90" s="508">
        <v>4.53</v>
      </c>
      <c r="H90" s="509"/>
      <c r="I90" s="399"/>
      <c r="J90" s="500"/>
      <c r="K90" s="1"/>
    </row>
    <row r="91" spans="1:11" ht="35.049999999999997" customHeight="1" x14ac:dyDescent="0.3">
      <c r="A91" s="398" t="s">
        <v>847</v>
      </c>
      <c r="B91" s="24"/>
      <c r="C91" s="409" t="s">
        <v>640</v>
      </c>
      <c r="D91" s="501">
        <v>3.6680000000000001</v>
      </c>
      <c r="E91" s="502">
        <v>0.14499999999999999</v>
      </c>
      <c r="F91" s="503">
        <v>4.4999999999999998E-2</v>
      </c>
      <c r="G91" s="508">
        <v>8.98</v>
      </c>
      <c r="H91" s="509"/>
      <c r="I91" s="399"/>
      <c r="J91" s="500"/>
      <c r="K91" s="1"/>
    </row>
    <row r="92" spans="1:11" ht="35.049999999999997" customHeight="1" x14ac:dyDescent="0.3">
      <c r="A92" s="398" t="s">
        <v>848</v>
      </c>
      <c r="B92" s="24"/>
      <c r="C92" s="409" t="s">
        <v>640</v>
      </c>
      <c r="D92" s="501">
        <v>3.6680000000000001</v>
      </c>
      <c r="E92" s="502">
        <v>0.14499999999999999</v>
      </c>
      <c r="F92" s="503">
        <v>4.4999999999999998E-2</v>
      </c>
      <c r="G92" s="508">
        <v>23.36</v>
      </c>
      <c r="H92" s="509"/>
      <c r="I92" s="399"/>
      <c r="J92" s="500"/>
      <c r="K92" s="1"/>
    </row>
    <row r="93" spans="1:11" ht="35.049999999999997" customHeight="1" x14ac:dyDescent="0.3">
      <c r="A93" s="398" t="s">
        <v>588</v>
      </c>
      <c r="B93" s="24"/>
      <c r="C93" s="391" t="s">
        <v>577</v>
      </c>
      <c r="D93" s="501">
        <v>3.6680000000000001</v>
      </c>
      <c r="E93" s="502">
        <v>0.14499999999999999</v>
      </c>
      <c r="F93" s="503">
        <v>4.4999999999999998E-2</v>
      </c>
      <c r="G93" s="509"/>
      <c r="H93" s="509"/>
      <c r="I93" s="399"/>
      <c r="J93" s="500"/>
      <c r="K93" s="1"/>
    </row>
    <row r="94" spans="1:11" ht="35.049999999999997" customHeight="1" x14ac:dyDescent="0.3">
      <c r="A94" s="398" t="s">
        <v>849</v>
      </c>
      <c r="B94" s="24"/>
      <c r="C94" s="395">
        <v>0</v>
      </c>
      <c r="D94" s="501">
        <v>2.778</v>
      </c>
      <c r="E94" s="502">
        <v>0.106</v>
      </c>
      <c r="F94" s="503">
        <v>3.2000000000000001E-2</v>
      </c>
      <c r="G94" s="508">
        <v>4.54</v>
      </c>
      <c r="H94" s="508">
        <v>1.1499999999999999</v>
      </c>
      <c r="I94" s="400">
        <v>2.17</v>
      </c>
      <c r="J94" s="499">
        <v>9.1999999999999998E-2</v>
      </c>
      <c r="K94" s="1"/>
    </row>
    <row r="95" spans="1:11" ht="35.049999999999997" customHeight="1" x14ac:dyDescent="0.3">
      <c r="A95" s="398" t="s">
        <v>850</v>
      </c>
      <c r="B95" s="24"/>
      <c r="C95" s="395">
        <v>0</v>
      </c>
      <c r="D95" s="501">
        <v>2.778</v>
      </c>
      <c r="E95" s="502">
        <v>0.106</v>
      </c>
      <c r="F95" s="503">
        <v>3.2000000000000001E-2</v>
      </c>
      <c r="G95" s="508">
        <v>41.56</v>
      </c>
      <c r="H95" s="508">
        <v>1.1499999999999999</v>
      </c>
      <c r="I95" s="400">
        <v>2.17</v>
      </c>
      <c r="J95" s="499">
        <v>9.1999999999999998E-2</v>
      </c>
      <c r="K95" s="1"/>
    </row>
    <row r="96" spans="1:11" ht="35.049999999999997" customHeight="1" x14ac:dyDescent="0.3">
      <c r="A96" s="398" t="s">
        <v>851</v>
      </c>
      <c r="B96" s="24"/>
      <c r="C96" s="395">
        <v>0</v>
      </c>
      <c r="D96" s="501">
        <v>2.778</v>
      </c>
      <c r="E96" s="502">
        <v>0.106</v>
      </c>
      <c r="F96" s="503">
        <v>3.2000000000000001E-2</v>
      </c>
      <c r="G96" s="508">
        <v>66.930000000000007</v>
      </c>
      <c r="H96" s="508">
        <v>1.1499999999999999</v>
      </c>
      <c r="I96" s="400">
        <v>2.17</v>
      </c>
      <c r="J96" s="499">
        <v>9.1999999999999998E-2</v>
      </c>
      <c r="K96" s="1"/>
    </row>
    <row r="97" spans="1:11" ht="35.049999999999997" customHeight="1" x14ac:dyDescent="0.3">
      <c r="A97" s="398" t="s">
        <v>852</v>
      </c>
      <c r="B97" s="24"/>
      <c r="C97" s="395">
        <v>0</v>
      </c>
      <c r="D97" s="501">
        <v>2.778</v>
      </c>
      <c r="E97" s="502">
        <v>0.106</v>
      </c>
      <c r="F97" s="503">
        <v>3.2000000000000001E-2</v>
      </c>
      <c r="G97" s="508">
        <v>106.42</v>
      </c>
      <c r="H97" s="508">
        <v>1.1499999999999999</v>
      </c>
      <c r="I97" s="400">
        <v>2.17</v>
      </c>
      <c r="J97" s="499">
        <v>9.1999999999999998E-2</v>
      </c>
      <c r="K97" s="1"/>
    </row>
    <row r="98" spans="1:11" ht="35.049999999999997" customHeight="1" x14ac:dyDescent="0.3">
      <c r="A98" s="398" t="s">
        <v>853</v>
      </c>
      <c r="B98" s="24"/>
      <c r="C98" s="395">
        <v>0</v>
      </c>
      <c r="D98" s="501">
        <v>2.778</v>
      </c>
      <c r="E98" s="502">
        <v>0.106</v>
      </c>
      <c r="F98" s="503">
        <v>3.2000000000000001E-2</v>
      </c>
      <c r="G98" s="508">
        <v>231.29</v>
      </c>
      <c r="H98" s="508">
        <v>1.1499999999999999</v>
      </c>
      <c r="I98" s="400">
        <v>2.17</v>
      </c>
      <c r="J98" s="499">
        <v>9.1999999999999998E-2</v>
      </c>
      <c r="K98" s="1"/>
    </row>
    <row r="99" spans="1:11" ht="35.049999999999997" customHeight="1" x14ac:dyDescent="0.3">
      <c r="A99" s="398" t="s">
        <v>854</v>
      </c>
      <c r="B99" s="24"/>
      <c r="C99" s="395">
        <v>0</v>
      </c>
      <c r="D99" s="501">
        <v>2.7389999999999999</v>
      </c>
      <c r="E99" s="502">
        <v>9.8000000000000004E-2</v>
      </c>
      <c r="F99" s="503">
        <v>2.8000000000000001E-2</v>
      </c>
      <c r="G99" s="508">
        <v>5.18</v>
      </c>
      <c r="H99" s="508">
        <v>2.58</v>
      </c>
      <c r="I99" s="400">
        <v>3.34</v>
      </c>
      <c r="J99" s="499">
        <v>8.6999999999999994E-2</v>
      </c>
      <c r="K99" s="1"/>
    </row>
    <row r="100" spans="1:11" ht="35.049999999999997" customHeight="1" x14ac:dyDescent="0.3">
      <c r="A100" s="398" t="s">
        <v>855</v>
      </c>
      <c r="B100" s="24"/>
      <c r="C100" s="395">
        <v>0</v>
      </c>
      <c r="D100" s="501">
        <v>2.7389999999999999</v>
      </c>
      <c r="E100" s="502">
        <v>9.8000000000000004E-2</v>
      </c>
      <c r="F100" s="503">
        <v>2.8000000000000001E-2</v>
      </c>
      <c r="G100" s="508">
        <v>59.98</v>
      </c>
      <c r="H100" s="508">
        <v>2.58</v>
      </c>
      <c r="I100" s="400">
        <v>3.34</v>
      </c>
      <c r="J100" s="499">
        <v>8.6999999999999994E-2</v>
      </c>
      <c r="K100" s="1"/>
    </row>
    <row r="101" spans="1:11" ht="35.049999999999997" customHeight="1" x14ac:dyDescent="0.3">
      <c r="A101" s="398" t="s">
        <v>856</v>
      </c>
      <c r="B101" s="24"/>
      <c r="C101" s="395">
        <v>0</v>
      </c>
      <c r="D101" s="501">
        <v>2.7389999999999999</v>
      </c>
      <c r="E101" s="502">
        <v>9.8000000000000004E-2</v>
      </c>
      <c r="F101" s="503">
        <v>2.8000000000000001E-2</v>
      </c>
      <c r="G101" s="508">
        <v>97.51</v>
      </c>
      <c r="H101" s="508">
        <v>2.58</v>
      </c>
      <c r="I101" s="400">
        <v>3.34</v>
      </c>
      <c r="J101" s="499">
        <v>8.6999999999999994E-2</v>
      </c>
      <c r="K101" s="1"/>
    </row>
    <row r="102" spans="1:11" ht="35.049999999999997" customHeight="1" x14ac:dyDescent="0.3">
      <c r="A102" s="398" t="s">
        <v>857</v>
      </c>
      <c r="B102" s="24"/>
      <c r="C102" s="395">
        <v>0</v>
      </c>
      <c r="D102" s="501">
        <v>2.7389999999999999</v>
      </c>
      <c r="E102" s="502">
        <v>9.8000000000000004E-2</v>
      </c>
      <c r="F102" s="503">
        <v>2.8000000000000001E-2</v>
      </c>
      <c r="G102" s="508">
        <v>155.96</v>
      </c>
      <c r="H102" s="508">
        <v>2.58</v>
      </c>
      <c r="I102" s="400">
        <v>3.34</v>
      </c>
      <c r="J102" s="499">
        <v>8.6999999999999994E-2</v>
      </c>
      <c r="K102" s="1"/>
    </row>
    <row r="103" spans="1:11" ht="35.049999999999997" customHeight="1" x14ac:dyDescent="0.3">
      <c r="A103" s="398" t="s">
        <v>858</v>
      </c>
      <c r="B103" s="24"/>
      <c r="C103" s="395">
        <v>0</v>
      </c>
      <c r="D103" s="501">
        <v>2.7389999999999999</v>
      </c>
      <c r="E103" s="502">
        <v>9.8000000000000004E-2</v>
      </c>
      <c r="F103" s="503">
        <v>2.8000000000000001E-2</v>
      </c>
      <c r="G103" s="508">
        <v>340.75</v>
      </c>
      <c r="H103" s="508">
        <v>2.58</v>
      </c>
      <c r="I103" s="400">
        <v>3.34</v>
      </c>
      <c r="J103" s="499">
        <v>8.6999999999999994E-2</v>
      </c>
      <c r="K103" s="1"/>
    </row>
    <row r="104" spans="1:11" ht="35.049999999999997" customHeight="1" x14ac:dyDescent="0.3">
      <c r="A104" s="398" t="s">
        <v>859</v>
      </c>
      <c r="B104" s="24"/>
      <c r="C104" s="395">
        <v>0</v>
      </c>
      <c r="D104" s="501">
        <v>2.5059999999999998</v>
      </c>
      <c r="E104" s="502">
        <v>8.5999999999999993E-2</v>
      </c>
      <c r="F104" s="503">
        <v>2.3E-2</v>
      </c>
      <c r="G104" s="508">
        <v>70.680000000000007</v>
      </c>
      <c r="H104" s="508">
        <v>2.17</v>
      </c>
      <c r="I104" s="400">
        <v>3.32</v>
      </c>
      <c r="J104" s="499">
        <v>7.9000000000000001E-2</v>
      </c>
      <c r="K104" s="1"/>
    </row>
    <row r="105" spans="1:11" ht="35.049999999999997" customHeight="1" x14ac:dyDescent="0.3">
      <c r="A105" s="398" t="s">
        <v>860</v>
      </c>
      <c r="B105" s="24"/>
      <c r="C105" s="395">
        <v>0</v>
      </c>
      <c r="D105" s="501">
        <v>2.5059999999999998</v>
      </c>
      <c r="E105" s="502">
        <v>8.5999999999999993E-2</v>
      </c>
      <c r="F105" s="503">
        <v>2.3E-2</v>
      </c>
      <c r="G105" s="508">
        <v>320.79000000000002</v>
      </c>
      <c r="H105" s="508">
        <v>2.17</v>
      </c>
      <c r="I105" s="400">
        <v>3.32</v>
      </c>
      <c r="J105" s="499">
        <v>7.9000000000000001E-2</v>
      </c>
      <c r="K105" s="1"/>
    </row>
    <row r="106" spans="1:11" ht="35.049999999999997" customHeight="1" x14ac:dyDescent="0.3">
      <c r="A106" s="398" t="s">
        <v>861</v>
      </c>
      <c r="B106" s="24"/>
      <c r="C106" s="395">
        <v>0</v>
      </c>
      <c r="D106" s="501">
        <v>2.5059999999999998</v>
      </c>
      <c r="E106" s="502">
        <v>8.5999999999999993E-2</v>
      </c>
      <c r="F106" s="503">
        <v>2.3E-2</v>
      </c>
      <c r="G106" s="508">
        <v>1483.04</v>
      </c>
      <c r="H106" s="508">
        <v>2.17</v>
      </c>
      <c r="I106" s="400">
        <v>3.32</v>
      </c>
      <c r="J106" s="499">
        <v>7.9000000000000001E-2</v>
      </c>
      <c r="K106" s="1"/>
    </row>
    <row r="107" spans="1:11" ht="35.049999999999997" customHeight="1" x14ac:dyDescent="0.3">
      <c r="A107" s="398" t="s">
        <v>862</v>
      </c>
      <c r="B107" s="24"/>
      <c r="C107" s="395">
        <v>0</v>
      </c>
      <c r="D107" s="501">
        <v>2.5059999999999998</v>
      </c>
      <c r="E107" s="502">
        <v>8.5999999999999993E-2</v>
      </c>
      <c r="F107" s="503">
        <v>2.3E-2</v>
      </c>
      <c r="G107" s="508">
        <v>1301.4000000000001</v>
      </c>
      <c r="H107" s="508">
        <v>2.17</v>
      </c>
      <c r="I107" s="400">
        <v>3.32</v>
      </c>
      <c r="J107" s="499">
        <v>7.9000000000000001E-2</v>
      </c>
      <c r="K107" s="1"/>
    </row>
    <row r="108" spans="1:11" ht="35.049999999999997" customHeight="1" x14ac:dyDescent="0.3">
      <c r="A108" s="398" t="s">
        <v>863</v>
      </c>
      <c r="B108" s="24"/>
      <c r="C108" s="395">
        <v>0</v>
      </c>
      <c r="D108" s="501">
        <v>2.5059999999999998</v>
      </c>
      <c r="E108" s="502">
        <v>8.5999999999999993E-2</v>
      </c>
      <c r="F108" s="503">
        <v>2.3E-2</v>
      </c>
      <c r="G108" s="508">
        <v>3244.82</v>
      </c>
      <c r="H108" s="508">
        <v>2.17</v>
      </c>
      <c r="I108" s="400">
        <v>3.32</v>
      </c>
      <c r="J108" s="499">
        <v>7.9000000000000001E-2</v>
      </c>
      <c r="K108" s="1"/>
    </row>
    <row r="109" spans="1:11" ht="35.049999999999997" customHeight="1" x14ac:dyDescent="0.3">
      <c r="A109" s="398" t="s">
        <v>589</v>
      </c>
      <c r="B109" s="24"/>
      <c r="C109" s="395" t="s">
        <v>616</v>
      </c>
      <c r="D109" s="504">
        <v>12.496</v>
      </c>
      <c r="E109" s="505">
        <v>0.53300000000000003</v>
      </c>
      <c r="F109" s="503">
        <v>0.438</v>
      </c>
      <c r="G109" s="509"/>
      <c r="H109" s="509"/>
      <c r="I109" s="399"/>
      <c r="J109" s="500"/>
      <c r="K109" s="1"/>
    </row>
    <row r="110" spans="1:11" ht="35.049999999999997" customHeight="1" x14ac:dyDescent="0.3">
      <c r="A110" s="398" t="s">
        <v>696</v>
      </c>
      <c r="B110" s="24"/>
      <c r="C110" s="406">
        <v>0</v>
      </c>
      <c r="D110" s="501">
        <v>-4.2110000000000003</v>
      </c>
      <c r="E110" s="502">
        <v>-0.16600000000000001</v>
      </c>
      <c r="F110" s="503">
        <v>-5.0999999999999997E-2</v>
      </c>
      <c r="G110" s="508">
        <v>0</v>
      </c>
      <c r="H110" s="509"/>
      <c r="I110" s="399"/>
      <c r="J110" s="500"/>
      <c r="K110" s="1"/>
    </row>
    <row r="111" spans="1:11" ht="35.049999999999997" customHeight="1" x14ac:dyDescent="0.3">
      <c r="A111" s="398" t="s">
        <v>697</v>
      </c>
      <c r="B111" s="397"/>
      <c r="C111" s="406">
        <v>0</v>
      </c>
      <c r="D111" s="501">
        <v>-4.1029999999999998</v>
      </c>
      <c r="E111" s="502">
        <v>-0.159</v>
      </c>
      <c r="F111" s="503">
        <v>-4.8000000000000001E-2</v>
      </c>
      <c r="G111" s="508">
        <v>0</v>
      </c>
      <c r="H111" s="509"/>
      <c r="I111" s="399"/>
      <c r="J111" s="500"/>
      <c r="K111" s="1"/>
    </row>
    <row r="112" spans="1:11" ht="35.049999999999997" customHeight="1" x14ac:dyDescent="0.3">
      <c r="A112" s="398" t="s">
        <v>698</v>
      </c>
      <c r="B112" s="24"/>
      <c r="C112" s="406">
        <v>0</v>
      </c>
      <c r="D112" s="501">
        <v>-4.2110000000000003</v>
      </c>
      <c r="E112" s="502">
        <v>-0.16600000000000001</v>
      </c>
      <c r="F112" s="503">
        <v>-5.0999999999999997E-2</v>
      </c>
      <c r="G112" s="508">
        <v>0</v>
      </c>
      <c r="H112" s="509"/>
      <c r="I112" s="399"/>
      <c r="J112" s="499">
        <v>0.125</v>
      </c>
      <c r="K112" s="1"/>
    </row>
    <row r="113" spans="1:11" ht="35.049999999999997" customHeight="1" x14ac:dyDescent="0.3">
      <c r="A113" s="398" t="s">
        <v>699</v>
      </c>
      <c r="B113" s="24"/>
      <c r="C113" s="406">
        <v>0</v>
      </c>
      <c r="D113" s="501">
        <v>-4.1029999999999998</v>
      </c>
      <c r="E113" s="502">
        <v>-0.159</v>
      </c>
      <c r="F113" s="503">
        <v>-4.8000000000000001E-2</v>
      </c>
      <c r="G113" s="508">
        <v>0</v>
      </c>
      <c r="H113" s="509"/>
      <c r="I113" s="399"/>
      <c r="J113" s="499">
        <v>0.123</v>
      </c>
      <c r="K113" s="1"/>
    </row>
    <row r="114" spans="1:11" ht="35.049999999999997" customHeight="1" x14ac:dyDescent="0.3">
      <c r="A114" s="398" t="s">
        <v>700</v>
      </c>
      <c r="B114" s="24"/>
      <c r="C114" s="406">
        <v>0</v>
      </c>
      <c r="D114" s="501">
        <v>-4.4790000000000001</v>
      </c>
      <c r="E114" s="502">
        <v>-0.159</v>
      </c>
      <c r="F114" s="503">
        <v>-4.3999999999999997E-2</v>
      </c>
      <c r="G114" s="508">
        <v>8.73</v>
      </c>
      <c r="H114" s="509"/>
      <c r="I114" s="399"/>
      <c r="J114" s="499">
        <v>0.158</v>
      </c>
      <c r="K114" s="1"/>
    </row>
    <row r="115" spans="1:11" ht="35.049999999999997" customHeight="1" x14ac:dyDescent="0.3">
      <c r="A115" s="398" t="s">
        <v>864</v>
      </c>
      <c r="B115" s="24"/>
      <c r="C115" s="434" t="s">
        <v>639</v>
      </c>
      <c r="D115" s="501">
        <v>4.1050000000000004</v>
      </c>
      <c r="E115" s="502">
        <v>0.16200000000000001</v>
      </c>
      <c r="F115" s="503">
        <v>0.05</v>
      </c>
      <c r="G115" s="508">
        <v>2.42</v>
      </c>
      <c r="H115" s="509"/>
      <c r="I115" s="399"/>
      <c r="J115" s="500"/>
      <c r="K115" s="1"/>
    </row>
    <row r="116" spans="1:11" ht="35.049999999999997" customHeight="1" x14ac:dyDescent="0.3">
      <c r="A116" s="398" t="s">
        <v>865</v>
      </c>
      <c r="B116" s="24"/>
      <c r="C116" s="391" t="s">
        <v>575</v>
      </c>
      <c r="D116" s="501">
        <v>4.1050000000000004</v>
      </c>
      <c r="E116" s="502">
        <v>0.16200000000000001</v>
      </c>
      <c r="F116" s="503">
        <v>0.05</v>
      </c>
      <c r="G116" s="509"/>
      <c r="H116" s="509"/>
      <c r="I116" s="399"/>
      <c r="J116" s="500"/>
      <c r="K116" s="1"/>
    </row>
    <row r="117" spans="1:11" ht="35.049999999999997" customHeight="1" x14ac:dyDescent="0.3">
      <c r="A117" s="398" t="s">
        <v>866</v>
      </c>
      <c r="B117" s="24"/>
      <c r="C117" s="409" t="s">
        <v>640</v>
      </c>
      <c r="D117" s="501">
        <v>3.0739999999999998</v>
      </c>
      <c r="E117" s="502">
        <v>0.121</v>
      </c>
      <c r="F117" s="503">
        <v>3.6999999999999998E-2</v>
      </c>
      <c r="G117" s="508">
        <v>1.3</v>
      </c>
      <c r="H117" s="509"/>
      <c r="I117" s="399"/>
      <c r="J117" s="500"/>
      <c r="K117" s="1"/>
    </row>
    <row r="118" spans="1:11" ht="35.049999999999997" customHeight="1" x14ac:dyDescent="0.3">
      <c r="A118" s="398" t="s">
        <v>867</v>
      </c>
      <c r="B118" s="24"/>
      <c r="C118" s="409" t="s">
        <v>640</v>
      </c>
      <c r="D118" s="501">
        <v>3.0739999999999998</v>
      </c>
      <c r="E118" s="502">
        <v>0.121</v>
      </c>
      <c r="F118" s="503">
        <v>3.6999999999999998E-2</v>
      </c>
      <c r="G118" s="508">
        <v>1.72</v>
      </c>
      <c r="H118" s="509"/>
      <c r="I118" s="399"/>
      <c r="J118" s="500"/>
      <c r="K118" s="1"/>
    </row>
    <row r="119" spans="1:11" ht="35.049999999999997" customHeight="1" x14ac:dyDescent="0.3">
      <c r="A119" s="398" t="s">
        <v>868</v>
      </c>
      <c r="B119" s="24"/>
      <c r="C119" s="409" t="s">
        <v>640</v>
      </c>
      <c r="D119" s="501">
        <v>3.0739999999999998</v>
      </c>
      <c r="E119" s="502">
        <v>0.121</v>
      </c>
      <c r="F119" s="503">
        <v>3.6999999999999998E-2</v>
      </c>
      <c r="G119" s="508">
        <v>3.83</v>
      </c>
      <c r="H119" s="509"/>
      <c r="I119" s="399"/>
      <c r="J119" s="500"/>
      <c r="K119" s="1"/>
    </row>
    <row r="120" spans="1:11" ht="35.049999999999997" customHeight="1" x14ac:dyDescent="0.3">
      <c r="A120" s="398" t="s">
        <v>869</v>
      </c>
      <c r="B120" s="24"/>
      <c r="C120" s="409" t="s">
        <v>640</v>
      </c>
      <c r="D120" s="501">
        <v>3.0739999999999998</v>
      </c>
      <c r="E120" s="502">
        <v>0.121</v>
      </c>
      <c r="F120" s="503">
        <v>3.6999999999999998E-2</v>
      </c>
      <c r="G120" s="508">
        <v>7.56</v>
      </c>
      <c r="H120" s="509"/>
      <c r="I120" s="399"/>
      <c r="J120" s="500"/>
      <c r="K120" s="1"/>
    </row>
    <row r="121" spans="1:11" ht="35.049999999999997" customHeight="1" x14ac:dyDescent="0.3">
      <c r="A121" s="398" t="s">
        <v>870</v>
      </c>
      <c r="B121" s="24"/>
      <c r="C121" s="409" t="s">
        <v>640</v>
      </c>
      <c r="D121" s="501">
        <v>3.0739999999999998</v>
      </c>
      <c r="E121" s="502">
        <v>0.121</v>
      </c>
      <c r="F121" s="503">
        <v>3.6999999999999998E-2</v>
      </c>
      <c r="G121" s="508">
        <v>19.61</v>
      </c>
      <c r="H121" s="509"/>
      <c r="I121" s="399"/>
      <c r="J121" s="500"/>
      <c r="K121" s="1"/>
    </row>
    <row r="122" spans="1:11" ht="35.049999999999997" customHeight="1" x14ac:dyDescent="0.3">
      <c r="A122" s="398" t="s">
        <v>590</v>
      </c>
      <c r="B122" s="24"/>
      <c r="C122" s="391" t="s">
        <v>577</v>
      </c>
      <c r="D122" s="501">
        <v>3.0739999999999998</v>
      </c>
      <c r="E122" s="502">
        <v>0.121</v>
      </c>
      <c r="F122" s="503">
        <v>3.6999999999999998E-2</v>
      </c>
      <c r="G122" s="509"/>
      <c r="H122" s="509"/>
      <c r="I122" s="399"/>
      <c r="J122" s="500"/>
      <c r="K122" s="1"/>
    </row>
    <row r="123" spans="1:11" ht="35.049999999999997" customHeight="1" x14ac:dyDescent="0.3">
      <c r="A123" s="398" t="s">
        <v>871</v>
      </c>
      <c r="B123" s="24"/>
      <c r="C123" s="395">
        <v>0</v>
      </c>
      <c r="D123" s="501">
        <v>2.3279999999999998</v>
      </c>
      <c r="E123" s="502">
        <v>8.8999999999999996E-2</v>
      </c>
      <c r="F123" s="503">
        <v>2.7E-2</v>
      </c>
      <c r="G123" s="508">
        <v>3.83</v>
      </c>
      <c r="H123" s="508">
        <v>0.97</v>
      </c>
      <c r="I123" s="400">
        <v>1.82</v>
      </c>
      <c r="J123" s="499">
        <v>7.6999999999999999E-2</v>
      </c>
      <c r="K123" s="1"/>
    </row>
    <row r="124" spans="1:11" ht="35.049999999999997" customHeight="1" x14ac:dyDescent="0.3">
      <c r="A124" s="398" t="s">
        <v>872</v>
      </c>
      <c r="B124" s="24"/>
      <c r="C124" s="395">
        <v>0</v>
      </c>
      <c r="D124" s="501">
        <v>2.3279999999999998</v>
      </c>
      <c r="E124" s="502">
        <v>8.8999999999999996E-2</v>
      </c>
      <c r="F124" s="503">
        <v>2.7E-2</v>
      </c>
      <c r="G124" s="508">
        <v>34.869999999999997</v>
      </c>
      <c r="H124" s="508">
        <v>0.97</v>
      </c>
      <c r="I124" s="400">
        <v>1.82</v>
      </c>
      <c r="J124" s="499">
        <v>7.6999999999999999E-2</v>
      </c>
      <c r="K124" s="1"/>
    </row>
    <row r="125" spans="1:11" ht="35.049999999999997" customHeight="1" x14ac:dyDescent="0.3">
      <c r="A125" s="398" t="s">
        <v>873</v>
      </c>
      <c r="B125" s="24"/>
      <c r="C125" s="395">
        <v>0</v>
      </c>
      <c r="D125" s="501">
        <v>2.3279999999999998</v>
      </c>
      <c r="E125" s="502">
        <v>8.8999999999999996E-2</v>
      </c>
      <c r="F125" s="503">
        <v>2.7E-2</v>
      </c>
      <c r="G125" s="508">
        <v>56.12</v>
      </c>
      <c r="H125" s="508">
        <v>0.97</v>
      </c>
      <c r="I125" s="400">
        <v>1.82</v>
      </c>
      <c r="J125" s="499">
        <v>7.6999999999999999E-2</v>
      </c>
      <c r="K125" s="1"/>
    </row>
    <row r="126" spans="1:11" ht="35.049999999999997" customHeight="1" x14ac:dyDescent="0.3">
      <c r="A126" s="398" t="s">
        <v>874</v>
      </c>
      <c r="B126" s="24"/>
      <c r="C126" s="395">
        <v>0</v>
      </c>
      <c r="D126" s="501">
        <v>2.3279999999999998</v>
      </c>
      <c r="E126" s="502">
        <v>8.8999999999999996E-2</v>
      </c>
      <c r="F126" s="503">
        <v>2.7E-2</v>
      </c>
      <c r="G126" s="508">
        <v>89.22</v>
      </c>
      <c r="H126" s="508">
        <v>0.97</v>
      </c>
      <c r="I126" s="400">
        <v>1.82</v>
      </c>
      <c r="J126" s="499">
        <v>7.6999999999999999E-2</v>
      </c>
      <c r="K126" s="1"/>
    </row>
    <row r="127" spans="1:11" ht="35.049999999999997" customHeight="1" x14ac:dyDescent="0.3">
      <c r="A127" s="398" t="s">
        <v>875</v>
      </c>
      <c r="B127" s="24"/>
      <c r="C127" s="395">
        <v>0</v>
      </c>
      <c r="D127" s="501">
        <v>2.3279999999999998</v>
      </c>
      <c r="E127" s="502">
        <v>8.8999999999999996E-2</v>
      </c>
      <c r="F127" s="503">
        <v>2.7E-2</v>
      </c>
      <c r="G127" s="508">
        <v>193.88</v>
      </c>
      <c r="H127" s="508">
        <v>0.97</v>
      </c>
      <c r="I127" s="400">
        <v>1.82</v>
      </c>
      <c r="J127" s="499">
        <v>7.6999999999999999E-2</v>
      </c>
      <c r="K127" s="1"/>
    </row>
    <row r="128" spans="1:11" ht="35.049999999999997" customHeight="1" x14ac:dyDescent="0.3">
      <c r="A128" s="398" t="s">
        <v>876</v>
      </c>
      <c r="B128" s="24"/>
      <c r="C128" s="395">
        <v>0</v>
      </c>
      <c r="D128" s="501">
        <v>2.2949999999999999</v>
      </c>
      <c r="E128" s="502">
        <v>8.2000000000000003E-2</v>
      </c>
      <c r="F128" s="503">
        <v>2.3E-2</v>
      </c>
      <c r="G128" s="508">
        <v>4.38</v>
      </c>
      <c r="H128" s="508">
        <v>2.16</v>
      </c>
      <c r="I128" s="400">
        <v>2.8</v>
      </c>
      <c r="J128" s="499">
        <v>7.2999999999999995E-2</v>
      </c>
      <c r="K128" s="1"/>
    </row>
    <row r="129" spans="1:11" ht="35.049999999999997" customHeight="1" x14ac:dyDescent="0.3">
      <c r="A129" s="398" t="s">
        <v>877</v>
      </c>
      <c r="B129" s="24"/>
      <c r="C129" s="395">
        <v>0</v>
      </c>
      <c r="D129" s="501">
        <v>2.2949999999999999</v>
      </c>
      <c r="E129" s="502">
        <v>8.2000000000000003E-2</v>
      </c>
      <c r="F129" s="503">
        <v>2.3E-2</v>
      </c>
      <c r="G129" s="508">
        <v>50.3</v>
      </c>
      <c r="H129" s="508">
        <v>2.16</v>
      </c>
      <c r="I129" s="400">
        <v>2.8</v>
      </c>
      <c r="J129" s="499">
        <v>7.2999999999999995E-2</v>
      </c>
      <c r="K129" s="1"/>
    </row>
    <row r="130" spans="1:11" ht="35.049999999999997" customHeight="1" x14ac:dyDescent="0.3">
      <c r="A130" s="398" t="s">
        <v>878</v>
      </c>
      <c r="B130" s="24"/>
      <c r="C130" s="395">
        <v>0</v>
      </c>
      <c r="D130" s="501">
        <v>2.2949999999999999</v>
      </c>
      <c r="E130" s="502">
        <v>8.2000000000000003E-2</v>
      </c>
      <c r="F130" s="503">
        <v>2.3E-2</v>
      </c>
      <c r="G130" s="508">
        <v>81.760000000000005</v>
      </c>
      <c r="H130" s="508">
        <v>2.16</v>
      </c>
      <c r="I130" s="400">
        <v>2.8</v>
      </c>
      <c r="J130" s="499">
        <v>7.2999999999999995E-2</v>
      </c>
      <c r="K130" s="1"/>
    </row>
    <row r="131" spans="1:11" ht="35.049999999999997" customHeight="1" x14ac:dyDescent="0.3">
      <c r="A131" s="398" t="s">
        <v>879</v>
      </c>
      <c r="B131" s="24"/>
      <c r="C131" s="395">
        <v>0</v>
      </c>
      <c r="D131" s="501">
        <v>2.2949999999999999</v>
      </c>
      <c r="E131" s="502">
        <v>8.2000000000000003E-2</v>
      </c>
      <c r="F131" s="503">
        <v>2.3E-2</v>
      </c>
      <c r="G131" s="508">
        <v>130.74</v>
      </c>
      <c r="H131" s="508">
        <v>2.16</v>
      </c>
      <c r="I131" s="400">
        <v>2.8</v>
      </c>
      <c r="J131" s="499">
        <v>7.2999999999999995E-2</v>
      </c>
      <c r="K131" s="1"/>
    </row>
    <row r="132" spans="1:11" ht="35.049999999999997" customHeight="1" x14ac:dyDescent="0.3">
      <c r="A132" s="398" t="s">
        <v>880</v>
      </c>
      <c r="B132" s="24"/>
      <c r="C132" s="395">
        <v>0</v>
      </c>
      <c r="D132" s="501">
        <v>2.2949999999999999</v>
      </c>
      <c r="E132" s="502">
        <v>8.2000000000000003E-2</v>
      </c>
      <c r="F132" s="503">
        <v>2.3E-2</v>
      </c>
      <c r="G132" s="508">
        <v>285.61</v>
      </c>
      <c r="H132" s="508">
        <v>2.16</v>
      </c>
      <c r="I132" s="400">
        <v>2.8</v>
      </c>
      <c r="J132" s="499">
        <v>7.2999999999999995E-2</v>
      </c>
      <c r="K132" s="1"/>
    </row>
    <row r="133" spans="1:11" ht="35.049999999999997" customHeight="1" x14ac:dyDescent="0.3">
      <c r="A133" s="398" t="s">
        <v>881</v>
      </c>
      <c r="B133" s="24"/>
      <c r="C133" s="395">
        <v>0</v>
      </c>
      <c r="D133" s="501">
        <v>2.1</v>
      </c>
      <c r="E133" s="502">
        <v>7.1999999999999995E-2</v>
      </c>
      <c r="F133" s="503">
        <v>1.9E-2</v>
      </c>
      <c r="G133" s="508">
        <v>59.27</v>
      </c>
      <c r="H133" s="508">
        <v>1.82</v>
      </c>
      <c r="I133" s="400">
        <v>2.78</v>
      </c>
      <c r="J133" s="499">
        <v>6.6000000000000003E-2</v>
      </c>
      <c r="K133" s="1"/>
    </row>
    <row r="134" spans="1:11" ht="35.049999999999997" customHeight="1" x14ac:dyDescent="0.3">
      <c r="A134" s="398" t="s">
        <v>882</v>
      </c>
      <c r="B134" s="24"/>
      <c r="C134" s="395">
        <v>0</v>
      </c>
      <c r="D134" s="501">
        <v>2.1</v>
      </c>
      <c r="E134" s="502">
        <v>7.1999999999999995E-2</v>
      </c>
      <c r="F134" s="503">
        <v>1.9E-2</v>
      </c>
      <c r="G134" s="508">
        <v>268.89</v>
      </c>
      <c r="H134" s="508">
        <v>1.82</v>
      </c>
      <c r="I134" s="400">
        <v>2.78</v>
      </c>
      <c r="J134" s="499">
        <v>6.6000000000000003E-2</v>
      </c>
      <c r="K134" s="1"/>
    </row>
    <row r="135" spans="1:11" ht="35.049999999999997" customHeight="1" x14ac:dyDescent="0.3">
      <c r="A135" s="398" t="s">
        <v>883</v>
      </c>
      <c r="B135" s="24"/>
      <c r="C135" s="395">
        <v>0</v>
      </c>
      <c r="D135" s="501">
        <v>2.1</v>
      </c>
      <c r="E135" s="502">
        <v>7.1999999999999995E-2</v>
      </c>
      <c r="F135" s="503">
        <v>1.9E-2</v>
      </c>
      <c r="G135" s="508">
        <v>1242.97</v>
      </c>
      <c r="H135" s="508">
        <v>1.82</v>
      </c>
      <c r="I135" s="400">
        <v>2.78</v>
      </c>
      <c r="J135" s="499">
        <v>6.6000000000000003E-2</v>
      </c>
      <c r="K135" s="1"/>
    </row>
    <row r="136" spans="1:11" ht="35.049999999999997" customHeight="1" x14ac:dyDescent="0.3">
      <c r="A136" s="398" t="s">
        <v>884</v>
      </c>
      <c r="B136" s="24"/>
      <c r="C136" s="395">
        <v>0</v>
      </c>
      <c r="D136" s="501">
        <v>2.1</v>
      </c>
      <c r="E136" s="502">
        <v>7.1999999999999995E-2</v>
      </c>
      <c r="F136" s="503">
        <v>1.9E-2</v>
      </c>
      <c r="G136" s="508">
        <v>1090.74</v>
      </c>
      <c r="H136" s="508">
        <v>1.82</v>
      </c>
      <c r="I136" s="400">
        <v>2.78</v>
      </c>
      <c r="J136" s="499">
        <v>6.6000000000000003E-2</v>
      </c>
      <c r="K136" s="1"/>
    </row>
    <row r="137" spans="1:11" ht="35.049999999999997" customHeight="1" x14ac:dyDescent="0.3">
      <c r="A137" s="398" t="s">
        <v>885</v>
      </c>
      <c r="B137" s="24"/>
      <c r="C137" s="395">
        <v>0</v>
      </c>
      <c r="D137" s="501">
        <v>2.1</v>
      </c>
      <c r="E137" s="502">
        <v>7.1999999999999995E-2</v>
      </c>
      <c r="F137" s="503">
        <v>1.9E-2</v>
      </c>
      <c r="G137" s="508">
        <v>2719.51</v>
      </c>
      <c r="H137" s="508">
        <v>1.82</v>
      </c>
      <c r="I137" s="400">
        <v>2.78</v>
      </c>
      <c r="J137" s="499">
        <v>6.6000000000000003E-2</v>
      </c>
      <c r="K137" s="1"/>
    </row>
    <row r="138" spans="1:11" ht="35.049999999999997" customHeight="1" x14ac:dyDescent="0.3">
      <c r="A138" s="398" t="s">
        <v>591</v>
      </c>
      <c r="B138" s="24"/>
      <c r="C138" s="395" t="s">
        <v>616</v>
      </c>
      <c r="D138" s="504">
        <v>10.473000000000001</v>
      </c>
      <c r="E138" s="505">
        <v>0.44600000000000001</v>
      </c>
      <c r="F138" s="503">
        <v>0.36699999999999999</v>
      </c>
      <c r="G138" s="509"/>
      <c r="H138" s="509"/>
      <c r="I138" s="399"/>
      <c r="J138" s="500"/>
      <c r="K138" s="1"/>
    </row>
    <row r="139" spans="1:11" ht="35.049999999999997" customHeight="1" x14ac:dyDescent="0.3">
      <c r="A139" s="398" t="s">
        <v>701</v>
      </c>
      <c r="B139" s="24"/>
      <c r="C139" s="406">
        <v>0</v>
      </c>
      <c r="D139" s="501">
        <v>-3.53</v>
      </c>
      <c r="E139" s="502">
        <v>-0.13900000000000001</v>
      </c>
      <c r="F139" s="503">
        <v>-4.2999999999999997E-2</v>
      </c>
      <c r="G139" s="508">
        <v>0</v>
      </c>
      <c r="H139" s="509"/>
      <c r="I139" s="399"/>
      <c r="J139" s="500"/>
      <c r="K139" s="1"/>
    </row>
    <row r="140" spans="1:11" ht="35.049999999999997" customHeight="1" x14ac:dyDescent="0.3">
      <c r="A140" s="398" t="s">
        <v>702</v>
      </c>
      <c r="B140" s="397"/>
      <c r="C140" s="406">
        <v>0</v>
      </c>
      <c r="D140" s="501">
        <v>-3.4380000000000002</v>
      </c>
      <c r="E140" s="502">
        <v>-0.13300000000000001</v>
      </c>
      <c r="F140" s="503">
        <v>-4.1000000000000002E-2</v>
      </c>
      <c r="G140" s="508">
        <v>0</v>
      </c>
      <c r="H140" s="509"/>
      <c r="I140" s="399"/>
      <c r="J140" s="500"/>
      <c r="K140" s="1"/>
    </row>
    <row r="141" spans="1:11" ht="35.049999999999997" customHeight="1" x14ac:dyDescent="0.3">
      <c r="A141" s="398" t="s">
        <v>703</v>
      </c>
      <c r="B141" s="24"/>
      <c r="C141" s="406">
        <v>0</v>
      </c>
      <c r="D141" s="501">
        <v>-3.53</v>
      </c>
      <c r="E141" s="502">
        <v>-0.13900000000000001</v>
      </c>
      <c r="F141" s="503">
        <v>-4.2999999999999997E-2</v>
      </c>
      <c r="G141" s="508">
        <v>0</v>
      </c>
      <c r="H141" s="509"/>
      <c r="I141" s="399"/>
      <c r="J141" s="499">
        <v>0.104</v>
      </c>
    </row>
    <row r="142" spans="1:11" ht="35.049999999999997" customHeight="1" x14ac:dyDescent="0.3">
      <c r="A142" s="398" t="s">
        <v>704</v>
      </c>
      <c r="B142" s="24"/>
      <c r="C142" s="406">
        <v>0</v>
      </c>
      <c r="D142" s="501">
        <v>-3.4380000000000002</v>
      </c>
      <c r="E142" s="502">
        <v>-0.13300000000000001</v>
      </c>
      <c r="F142" s="503">
        <v>-4.1000000000000002E-2</v>
      </c>
      <c r="G142" s="508">
        <v>0</v>
      </c>
      <c r="H142" s="509"/>
      <c r="I142" s="399"/>
      <c r="J142" s="499">
        <v>0.10299999999999999</v>
      </c>
    </row>
    <row r="143" spans="1:11" ht="35.049999999999997" customHeight="1" x14ac:dyDescent="0.3">
      <c r="A143" s="398" t="s">
        <v>705</v>
      </c>
      <c r="B143" s="24"/>
      <c r="C143" s="406">
        <v>0</v>
      </c>
      <c r="D143" s="501">
        <v>-3.754</v>
      </c>
      <c r="E143" s="502">
        <v>-0.13300000000000001</v>
      </c>
      <c r="F143" s="503">
        <v>-3.6999999999999998E-2</v>
      </c>
      <c r="G143" s="508">
        <v>7.31</v>
      </c>
      <c r="H143" s="509"/>
      <c r="I143" s="399"/>
      <c r="J143" s="499">
        <v>0.13200000000000001</v>
      </c>
    </row>
    <row r="144" spans="1:11" ht="35.049999999999997" customHeight="1" x14ac:dyDescent="0.3">
      <c r="A144" s="398" t="s">
        <v>886</v>
      </c>
      <c r="B144" s="24"/>
      <c r="C144" s="434" t="s">
        <v>639</v>
      </c>
      <c r="D144" s="501">
        <v>2.9380000000000002</v>
      </c>
      <c r="E144" s="502">
        <v>0.11600000000000001</v>
      </c>
      <c r="F144" s="503">
        <v>3.5999999999999997E-2</v>
      </c>
      <c r="G144" s="508">
        <v>1.81</v>
      </c>
      <c r="H144" s="509"/>
      <c r="I144" s="399"/>
      <c r="J144" s="500"/>
    </row>
    <row r="145" spans="1:10" ht="35.049999999999997" customHeight="1" x14ac:dyDescent="0.3">
      <c r="A145" s="398" t="s">
        <v>887</v>
      </c>
      <c r="B145" s="24"/>
      <c r="C145" s="391" t="s">
        <v>575</v>
      </c>
      <c r="D145" s="501">
        <v>2.9380000000000002</v>
      </c>
      <c r="E145" s="502">
        <v>0.11600000000000001</v>
      </c>
      <c r="F145" s="503">
        <v>3.5999999999999997E-2</v>
      </c>
      <c r="G145" s="509"/>
      <c r="H145" s="509"/>
      <c r="I145" s="399"/>
      <c r="J145" s="500"/>
    </row>
    <row r="146" spans="1:10" ht="35.049999999999997" customHeight="1" x14ac:dyDescent="0.3">
      <c r="A146" s="398" t="s">
        <v>888</v>
      </c>
      <c r="B146" s="24"/>
      <c r="C146" s="409" t="s">
        <v>640</v>
      </c>
      <c r="D146" s="501">
        <v>2.2000000000000002</v>
      </c>
      <c r="E146" s="502">
        <v>8.6999999999999994E-2</v>
      </c>
      <c r="F146" s="503">
        <v>2.7E-2</v>
      </c>
      <c r="G146" s="508">
        <v>0.99</v>
      </c>
      <c r="H146" s="509"/>
      <c r="I146" s="399"/>
      <c r="J146" s="500"/>
    </row>
    <row r="147" spans="1:10" ht="35.049999999999997" customHeight="1" x14ac:dyDescent="0.3">
      <c r="A147" s="398" t="s">
        <v>889</v>
      </c>
      <c r="B147" s="24"/>
      <c r="C147" s="409" t="s">
        <v>640</v>
      </c>
      <c r="D147" s="501">
        <v>2.2000000000000002</v>
      </c>
      <c r="E147" s="502">
        <v>8.6999999999999994E-2</v>
      </c>
      <c r="F147" s="503">
        <v>2.7E-2</v>
      </c>
      <c r="G147" s="508">
        <v>1.29</v>
      </c>
      <c r="H147" s="509"/>
      <c r="I147" s="399"/>
      <c r="J147" s="500"/>
    </row>
    <row r="148" spans="1:10" ht="35.049999999999997" customHeight="1" x14ac:dyDescent="0.3">
      <c r="A148" s="398" t="s">
        <v>890</v>
      </c>
      <c r="B148" s="24"/>
      <c r="C148" s="409" t="s">
        <v>640</v>
      </c>
      <c r="D148" s="501">
        <v>2.2000000000000002</v>
      </c>
      <c r="E148" s="502">
        <v>8.6999999999999994E-2</v>
      </c>
      <c r="F148" s="503">
        <v>2.7E-2</v>
      </c>
      <c r="G148" s="508">
        <v>2.8</v>
      </c>
      <c r="H148" s="509"/>
      <c r="I148" s="399"/>
      <c r="J148" s="500"/>
    </row>
    <row r="149" spans="1:10" ht="35.049999999999997" customHeight="1" x14ac:dyDescent="0.3">
      <c r="A149" s="398" t="s">
        <v>891</v>
      </c>
      <c r="B149" s="24"/>
      <c r="C149" s="409" t="s">
        <v>640</v>
      </c>
      <c r="D149" s="501">
        <v>2.2000000000000002</v>
      </c>
      <c r="E149" s="502">
        <v>8.6999999999999994E-2</v>
      </c>
      <c r="F149" s="503">
        <v>2.7E-2</v>
      </c>
      <c r="G149" s="508">
        <v>5.47</v>
      </c>
      <c r="H149" s="509"/>
      <c r="I149" s="399"/>
      <c r="J149" s="500"/>
    </row>
    <row r="150" spans="1:10" ht="35.049999999999997" customHeight="1" x14ac:dyDescent="0.3">
      <c r="A150" s="398" t="s">
        <v>892</v>
      </c>
      <c r="B150" s="24"/>
      <c r="C150" s="409" t="s">
        <v>640</v>
      </c>
      <c r="D150" s="501">
        <v>2.2000000000000002</v>
      </c>
      <c r="E150" s="502">
        <v>8.6999999999999994E-2</v>
      </c>
      <c r="F150" s="503">
        <v>2.7E-2</v>
      </c>
      <c r="G150" s="508">
        <v>14.09</v>
      </c>
      <c r="H150" s="509"/>
      <c r="I150" s="399"/>
      <c r="J150" s="500"/>
    </row>
    <row r="151" spans="1:10" ht="35.049999999999997" customHeight="1" x14ac:dyDescent="0.3">
      <c r="A151" s="398" t="s">
        <v>592</v>
      </c>
      <c r="B151" s="24"/>
      <c r="C151" s="391" t="s">
        <v>577</v>
      </c>
      <c r="D151" s="501">
        <v>2.2000000000000002</v>
      </c>
      <c r="E151" s="502">
        <v>8.6999999999999994E-2</v>
      </c>
      <c r="F151" s="503">
        <v>2.7E-2</v>
      </c>
      <c r="G151" s="509"/>
      <c r="H151" s="509"/>
      <c r="I151" s="399"/>
      <c r="J151" s="500"/>
    </row>
    <row r="152" spans="1:10" ht="35.049999999999997" customHeight="1" x14ac:dyDescent="0.3">
      <c r="A152" s="398" t="s">
        <v>893</v>
      </c>
      <c r="B152" s="24"/>
      <c r="C152" s="395">
        <v>0</v>
      </c>
      <c r="D152" s="501">
        <v>1.6659999999999999</v>
      </c>
      <c r="E152" s="502">
        <v>6.4000000000000001E-2</v>
      </c>
      <c r="F152" s="503">
        <v>1.9E-2</v>
      </c>
      <c r="G152" s="508">
        <v>2.8</v>
      </c>
      <c r="H152" s="508">
        <v>0.69</v>
      </c>
      <c r="I152" s="400">
        <v>1.3</v>
      </c>
      <c r="J152" s="499">
        <v>5.5E-2</v>
      </c>
    </row>
    <row r="153" spans="1:10" ht="35.049999999999997" customHeight="1" x14ac:dyDescent="0.3">
      <c r="A153" s="398" t="s">
        <v>894</v>
      </c>
      <c r="B153" s="24"/>
      <c r="C153" s="395">
        <v>0</v>
      </c>
      <c r="D153" s="501">
        <v>1.6659999999999999</v>
      </c>
      <c r="E153" s="502">
        <v>6.4000000000000001E-2</v>
      </c>
      <c r="F153" s="503">
        <v>1.9E-2</v>
      </c>
      <c r="G153" s="508">
        <v>25.01</v>
      </c>
      <c r="H153" s="508">
        <v>0.69</v>
      </c>
      <c r="I153" s="400">
        <v>1.3</v>
      </c>
      <c r="J153" s="499">
        <v>5.5E-2</v>
      </c>
    </row>
    <row r="154" spans="1:10" ht="35.049999999999997" customHeight="1" x14ac:dyDescent="0.3">
      <c r="A154" s="398" t="s">
        <v>895</v>
      </c>
      <c r="B154" s="24"/>
      <c r="C154" s="395">
        <v>0</v>
      </c>
      <c r="D154" s="501">
        <v>1.6659999999999999</v>
      </c>
      <c r="E154" s="502">
        <v>6.4000000000000001E-2</v>
      </c>
      <c r="F154" s="503">
        <v>1.9E-2</v>
      </c>
      <c r="G154" s="508">
        <v>40.22</v>
      </c>
      <c r="H154" s="508">
        <v>0.69</v>
      </c>
      <c r="I154" s="400">
        <v>1.3</v>
      </c>
      <c r="J154" s="499">
        <v>5.5E-2</v>
      </c>
    </row>
    <row r="155" spans="1:10" ht="35.049999999999997" customHeight="1" x14ac:dyDescent="0.3">
      <c r="A155" s="398" t="s">
        <v>896</v>
      </c>
      <c r="B155" s="24"/>
      <c r="C155" s="395">
        <v>0</v>
      </c>
      <c r="D155" s="501">
        <v>1.6659999999999999</v>
      </c>
      <c r="E155" s="502">
        <v>6.4000000000000001E-2</v>
      </c>
      <c r="F155" s="503">
        <v>1.9E-2</v>
      </c>
      <c r="G155" s="508">
        <v>63.91</v>
      </c>
      <c r="H155" s="508">
        <v>0.69</v>
      </c>
      <c r="I155" s="400">
        <v>1.3</v>
      </c>
      <c r="J155" s="499">
        <v>5.5E-2</v>
      </c>
    </row>
    <row r="156" spans="1:10" ht="35.049999999999997" customHeight="1" x14ac:dyDescent="0.3">
      <c r="A156" s="398" t="s">
        <v>897</v>
      </c>
      <c r="B156" s="24"/>
      <c r="C156" s="395">
        <v>0</v>
      </c>
      <c r="D156" s="501">
        <v>1.6659999999999999</v>
      </c>
      <c r="E156" s="502">
        <v>6.4000000000000001E-2</v>
      </c>
      <c r="F156" s="503">
        <v>1.9E-2</v>
      </c>
      <c r="G156" s="508">
        <v>138.80000000000001</v>
      </c>
      <c r="H156" s="508">
        <v>0.69</v>
      </c>
      <c r="I156" s="400">
        <v>1.3</v>
      </c>
      <c r="J156" s="499">
        <v>5.5E-2</v>
      </c>
    </row>
    <row r="157" spans="1:10" ht="35.049999999999997" customHeight="1" x14ac:dyDescent="0.3">
      <c r="A157" s="398" t="s">
        <v>898</v>
      </c>
      <c r="B157" s="24"/>
      <c r="C157" s="395">
        <v>0</v>
      </c>
      <c r="D157" s="501">
        <v>1.643</v>
      </c>
      <c r="E157" s="502">
        <v>5.8999999999999997E-2</v>
      </c>
      <c r="F157" s="503">
        <v>1.7000000000000001E-2</v>
      </c>
      <c r="G157" s="508">
        <v>3.19</v>
      </c>
      <c r="H157" s="508">
        <v>1.55</v>
      </c>
      <c r="I157" s="400">
        <v>2</v>
      </c>
      <c r="J157" s="499">
        <v>5.1999999999999998E-2</v>
      </c>
    </row>
    <row r="158" spans="1:10" ht="35.049999999999997" customHeight="1" x14ac:dyDescent="0.3">
      <c r="A158" s="398" t="s">
        <v>899</v>
      </c>
      <c r="B158" s="24"/>
      <c r="C158" s="395">
        <v>0</v>
      </c>
      <c r="D158" s="501">
        <v>1.643</v>
      </c>
      <c r="E158" s="502">
        <v>5.8999999999999997E-2</v>
      </c>
      <c r="F158" s="503">
        <v>1.7000000000000001E-2</v>
      </c>
      <c r="G158" s="508">
        <v>36.049999999999997</v>
      </c>
      <c r="H158" s="508">
        <v>1.55</v>
      </c>
      <c r="I158" s="400">
        <v>2</v>
      </c>
      <c r="J158" s="499">
        <v>5.1999999999999998E-2</v>
      </c>
    </row>
    <row r="159" spans="1:10" ht="35.049999999999997" customHeight="1" x14ac:dyDescent="0.3">
      <c r="A159" s="398" t="s">
        <v>900</v>
      </c>
      <c r="B159" s="24"/>
      <c r="C159" s="395">
        <v>0</v>
      </c>
      <c r="D159" s="501">
        <v>1.643</v>
      </c>
      <c r="E159" s="502">
        <v>5.8999999999999997E-2</v>
      </c>
      <c r="F159" s="503">
        <v>1.7000000000000001E-2</v>
      </c>
      <c r="G159" s="508">
        <v>58.57</v>
      </c>
      <c r="H159" s="508">
        <v>1.55</v>
      </c>
      <c r="I159" s="400">
        <v>2</v>
      </c>
      <c r="J159" s="499">
        <v>5.1999999999999998E-2</v>
      </c>
    </row>
    <row r="160" spans="1:10" ht="35.049999999999997" customHeight="1" x14ac:dyDescent="0.3">
      <c r="A160" s="398" t="s">
        <v>901</v>
      </c>
      <c r="B160" s="24"/>
      <c r="C160" s="395">
        <v>0</v>
      </c>
      <c r="D160" s="501">
        <v>1.643</v>
      </c>
      <c r="E160" s="502">
        <v>5.8999999999999997E-2</v>
      </c>
      <c r="F160" s="503">
        <v>1.7000000000000001E-2</v>
      </c>
      <c r="G160" s="508">
        <v>93.62</v>
      </c>
      <c r="H160" s="508">
        <v>1.55</v>
      </c>
      <c r="I160" s="400">
        <v>2</v>
      </c>
      <c r="J160" s="499">
        <v>5.1999999999999998E-2</v>
      </c>
    </row>
    <row r="161" spans="1:10" ht="35.049999999999997" customHeight="1" x14ac:dyDescent="0.3">
      <c r="A161" s="398" t="s">
        <v>902</v>
      </c>
      <c r="B161" s="24"/>
      <c r="C161" s="395">
        <v>0</v>
      </c>
      <c r="D161" s="501">
        <v>1.643</v>
      </c>
      <c r="E161" s="502">
        <v>5.8999999999999997E-2</v>
      </c>
      <c r="F161" s="503">
        <v>1.7000000000000001E-2</v>
      </c>
      <c r="G161" s="508">
        <v>204.45</v>
      </c>
      <c r="H161" s="508">
        <v>1.55</v>
      </c>
      <c r="I161" s="400">
        <v>2</v>
      </c>
      <c r="J161" s="499">
        <v>5.1999999999999998E-2</v>
      </c>
    </row>
    <row r="162" spans="1:10" ht="35.049999999999997" customHeight="1" x14ac:dyDescent="0.3">
      <c r="A162" s="398" t="s">
        <v>903</v>
      </c>
      <c r="B162" s="24"/>
      <c r="C162" s="395">
        <v>0</v>
      </c>
      <c r="D162" s="501">
        <v>1.5029999999999999</v>
      </c>
      <c r="E162" s="502">
        <v>5.1999999999999998E-2</v>
      </c>
      <c r="F162" s="503">
        <v>1.4E-2</v>
      </c>
      <c r="G162" s="508">
        <v>42.47</v>
      </c>
      <c r="H162" s="508">
        <v>1.3</v>
      </c>
      <c r="I162" s="400">
        <v>1.99</v>
      </c>
      <c r="J162" s="499">
        <v>4.8000000000000001E-2</v>
      </c>
    </row>
    <row r="163" spans="1:10" ht="35.049999999999997" customHeight="1" x14ac:dyDescent="0.3">
      <c r="A163" s="398" t="s">
        <v>904</v>
      </c>
      <c r="B163" s="24"/>
      <c r="C163" s="395">
        <v>0</v>
      </c>
      <c r="D163" s="501">
        <v>1.5029999999999999</v>
      </c>
      <c r="E163" s="502">
        <v>5.1999999999999998E-2</v>
      </c>
      <c r="F163" s="503">
        <v>1.4E-2</v>
      </c>
      <c r="G163" s="508">
        <v>192.48</v>
      </c>
      <c r="H163" s="508">
        <v>1.3</v>
      </c>
      <c r="I163" s="400">
        <v>1.99</v>
      </c>
      <c r="J163" s="499">
        <v>4.8000000000000001E-2</v>
      </c>
    </row>
    <row r="164" spans="1:10" ht="35.049999999999997" customHeight="1" x14ac:dyDescent="0.3">
      <c r="A164" s="398" t="s">
        <v>905</v>
      </c>
      <c r="B164" s="24"/>
      <c r="C164" s="395">
        <v>0</v>
      </c>
      <c r="D164" s="501">
        <v>1.5029999999999999</v>
      </c>
      <c r="E164" s="502">
        <v>5.1999999999999998E-2</v>
      </c>
      <c r="F164" s="503">
        <v>1.4E-2</v>
      </c>
      <c r="G164" s="508">
        <v>889.57</v>
      </c>
      <c r="H164" s="508">
        <v>1.3</v>
      </c>
      <c r="I164" s="400">
        <v>1.99</v>
      </c>
      <c r="J164" s="499">
        <v>4.8000000000000001E-2</v>
      </c>
    </row>
    <row r="165" spans="1:10" ht="35.049999999999997" customHeight="1" x14ac:dyDescent="0.3">
      <c r="A165" s="398" t="s">
        <v>906</v>
      </c>
      <c r="B165" s="24"/>
      <c r="C165" s="395">
        <v>0</v>
      </c>
      <c r="D165" s="501">
        <v>1.5029999999999999</v>
      </c>
      <c r="E165" s="502">
        <v>5.1999999999999998E-2</v>
      </c>
      <c r="F165" s="503">
        <v>1.4E-2</v>
      </c>
      <c r="G165" s="508">
        <v>780.62</v>
      </c>
      <c r="H165" s="508">
        <v>1.3</v>
      </c>
      <c r="I165" s="400">
        <v>1.99</v>
      </c>
      <c r="J165" s="499">
        <v>4.8000000000000001E-2</v>
      </c>
    </row>
    <row r="166" spans="1:10" ht="35.049999999999997" customHeight="1" x14ac:dyDescent="0.3">
      <c r="A166" s="398" t="s">
        <v>907</v>
      </c>
      <c r="B166" s="24"/>
      <c r="C166" s="395">
        <v>0</v>
      </c>
      <c r="D166" s="501">
        <v>1.5029999999999999</v>
      </c>
      <c r="E166" s="502">
        <v>5.1999999999999998E-2</v>
      </c>
      <c r="F166" s="503">
        <v>1.4E-2</v>
      </c>
      <c r="G166" s="508">
        <v>1946.23</v>
      </c>
      <c r="H166" s="508">
        <v>1.3</v>
      </c>
      <c r="I166" s="400">
        <v>1.99</v>
      </c>
      <c r="J166" s="499">
        <v>4.8000000000000001E-2</v>
      </c>
    </row>
    <row r="167" spans="1:10" ht="35.049999999999997" customHeight="1" x14ac:dyDescent="0.3">
      <c r="A167" s="398" t="s">
        <v>593</v>
      </c>
      <c r="B167" s="24"/>
      <c r="C167" s="395" t="s">
        <v>616</v>
      </c>
      <c r="D167" s="504">
        <v>7.4950000000000001</v>
      </c>
      <c r="E167" s="505">
        <v>0.31900000000000001</v>
      </c>
      <c r="F167" s="503">
        <v>0.26300000000000001</v>
      </c>
      <c r="G167" s="509"/>
      <c r="H167" s="509"/>
      <c r="I167" s="399"/>
      <c r="J167" s="500"/>
    </row>
    <row r="168" spans="1:10" ht="35.049999999999997" customHeight="1" x14ac:dyDescent="0.3">
      <c r="A168" s="398" t="s">
        <v>706</v>
      </c>
      <c r="B168" s="24"/>
      <c r="C168" s="406">
        <v>0</v>
      </c>
      <c r="D168" s="501">
        <v>-2.5259999999999998</v>
      </c>
      <c r="E168" s="502">
        <v>-0.1</v>
      </c>
      <c r="F168" s="503">
        <v>-3.1E-2</v>
      </c>
      <c r="G168" s="508">
        <v>0</v>
      </c>
      <c r="H168" s="509"/>
      <c r="I168" s="399"/>
      <c r="J168" s="500"/>
    </row>
    <row r="169" spans="1:10" ht="35.049999999999997" customHeight="1" x14ac:dyDescent="0.3">
      <c r="A169" s="398" t="s">
        <v>707</v>
      </c>
      <c r="B169" s="397"/>
      <c r="C169" s="406">
        <v>0</v>
      </c>
      <c r="D169" s="501">
        <v>-2.4609999999999999</v>
      </c>
      <c r="E169" s="502">
        <v>-9.5000000000000001E-2</v>
      </c>
      <c r="F169" s="503">
        <v>-2.9000000000000001E-2</v>
      </c>
      <c r="G169" s="508">
        <v>0</v>
      </c>
      <c r="H169" s="509"/>
      <c r="I169" s="399"/>
      <c r="J169" s="500"/>
    </row>
    <row r="170" spans="1:10" ht="35.049999999999997" customHeight="1" x14ac:dyDescent="0.3">
      <c r="A170" s="398" t="s">
        <v>708</v>
      </c>
      <c r="B170" s="24"/>
      <c r="C170" s="406">
        <v>0</v>
      </c>
      <c r="D170" s="501">
        <v>-2.5259999999999998</v>
      </c>
      <c r="E170" s="502">
        <v>-0.1</v>
      </c>
      <c r="F170" s="503">
        <v>-3.1E-2</v>
      </c>
      <c r="G170" s="508">
        <v>0</v>
      </c>
      <c r="H170" s="509"/>
      <c r="I170" s="399"/>
      <c r="J170" s="499">
        <v>7.4999999999999997E-2</v>
      </c>
    </row>
    <row r="171" spans="1:10" ht="35.049999999999997" customHeight="1" x14ac:dyDescent="0.3">
      <c r="A171" s="398" t="s">
        <v>709</v>
      </c>
      <c r="B171" s="24"/>
      <c r="C171" s="406">
        <v>0</v>
      </c>
      <c r="D171" s="501">
        <v>-2.4609999999999999</v>
      </c>
      <c r="E171" s="502">
        <v>-9.5000000000000001E-2</v>
      </c>
      <c r="F171" s="503">
        <v>-2.9000000000000001E-2</v>
      </c>
      <c r="G171" s="508">
        <v>0</v>
      </c>
      <c r="H171" s="509"/>
      <c r="I171" s="399"/>
      <c r="J171" s="499">
        <v>7.3999999999999996E-2</v>
      </c>
    </row>
    <row r="172" spans="1:10" ht="35.049999999999997" customHeight="1" x14ac:dyDescent="0.3">
      <c r="A172" s="398" t="s">
        <v>710</v>
      </c>
      <c r="B172" s="24"/>
      <c r="C172" s="406">
        <v>0</v>
      </c>
      <c r="D172" s="501">
        <v>-2.6859999999999999</v>
      </c>
      <c r="E172" s="502">
        <v>-9.5000000000000001E-2</v>
      </c>
      <c r="F172" s="503">
        <v>-2.7E-2</v>
      </c>
      <c r="G172" s="508">
        <v>5.23</v>
      </c>
      <c r="H172" s="509"/>
      <c r="I172" s="399"/>
      <c r="J172" s="499">
        <v>9.5000000000000001E-2</v>
      </c>
    </row>
    <row r="173" spans="1:10" ht="35.049999999999997" customHeight="1" x14ac:dyDescent="0.3">
      <c r="A173" s="398" t="s">
        <v>908</v>
      </c>
      <c r="B173" s="24"/>
      <c r="C173" s="434" t="s">
        <v>639</v>
      </c>
      <c r="D173" s="501">
        <v>1.121</v>
      </c>
      <c r="E173" s="502">
        <v>4.3999999999999997E-2</v>
      </c>
      <c r="F173" s="503">
        <v>1.4E-2</v>
      </c>
      <c r="G173" s="508">
        <v>0.87</v>
      </c>
      <c r="H173" s="509"/>
      <c r="I173" s="399"/>
      <c r="J173" s="500"/>
    </row>
    <row r="174" spans="1:10" ht="35.049999999999997" customHeight="1" x14ac:dyDescent="0.3">
      <c r="A174" s="398" t="s">
        <v>909</v>
      </c>
      <c r="B174" s="24"/>
      <c r="C174" s="391" t="s">
        <v>575</v>
      </c>
      <c r="D174" s="501">
        <v>1.121</v>
      </c>
      <c r="E174" s="502">
        <v>4.3999999999999997E-2</v>
      </c>
      <c r="F174" s="503">
        <v>1.4E-2</v>
      </c>
      <c r="G174" s="509"/>
      <c r="H174" s="509"/>
      <c r="I174" s="399"/>
      <c r="J174" s="500"/>
    </row>
    <row r="175" spans="1:10" ht="35.049999999999997" customHeight="1" x14ac:dyDescent="0.3">
      <c r="A175" s="398" t="s">
        <v>910</v>
      </c>
      <c r="B175" s="24"/>
      <c r="C175" s="409" t="s">
        <v>640</v>
      </c>
      <c r="D175" s="501">
        <v>0.84</v>
      </c>
      <c r="E175" s="502">
        <v>3.3000000000000002E-2</v>
      </c>
      <c r="F175" s="503">
        <v>0.01</v>
      </c>
      <c r="G175" s="508">
        <v>0.5</v>
      </c>
      <c r="H175" s="509"/>
      <c r="I175" s="399"/>
      <c r="J175" s="500"/>
    </row>
    <row r="176" spans="1:10" ht="35.049999999999997" customHeight="1" x14ac:dyDescent="0.3">
      <c r="A176" s="398" t="s">
        <v>911</v>
      </c>
      <c r="B176" s="24"/>
      <c r="C176" s="409" t="s">
        <v>640</v>
      </c>
      <c r="D176" s="501">
        <v>0.84</v>
      </c>
      <c r="E176" s="502">
        <v>3.3000000000000002E-2</v>
      </c>
      <c r="F176" s="503">
        <v>0.01</v>
      </c>
      <c r="G176" s="508">
        <v>0.62</v>
      </c>
      <c r="H176" s="509"/>
      <c r="I176" s="399"/>
      <c r="J176" s="500"/>
    </row>
    <row r="177" spans="1:10" ht="35.049999999999997" customHeight="1" x14ac:dyDescent="0.3">
      <c r="A177" s="398" t="s">
        <v>912</v>
      </c>
      <c r="B177" s="24"/>
      <c r="C177" s="409" t="s">
        <v>640</v>
      </c>
      <c r="D177" s="501">
        <v>0.84</v>
      </c>
      <c r="E177" s="502">
        <v>3.3000000000000002E-2</v>
      </c>
      <c r="F177" s="503">
        <v>0.01</v>
      </c>
      <c r="G177" s="508">
        <v>1.19</v>
      </c>
      <c r="H177" s="509"/>
      <c r="I177" s="399"/>
      <c r="J177" s="500"/>
    </row>
    <row r="178" spans="1:10" ht="35.049999999999997" customHeight="1" x14ac:dyDescent="0.3">
      <c r="A178" s="398" t="s">
        <v>913</v>
      </c>
      <c r="B178" s="24"/>
      <c r="C178" s="409" t="s">
        <v>640</v>
      </c>
      <c r="D178" s="501">
        <v>0.84</v>
      </c>
      <c r="E178" s="502">
        <v>3.3000000000000002E-2</v>
      </c>
      <c r="F178" s="503">
        <v>0.01</v>
      </c>
      <c r="G178" s="508">
        <v>2.21</v>
      </c>
      <c r="H178" s="509"/>
      <c r="I178" s="399"/>
      <c r="J178" s="500"/>
    </row>
    <row r="179" spans="1:10" ht="35.049999999999997" customHeight="1" x14ac:dyDescent="0.3">
      <c r="A179" s="398" t="s">
        <v>914</v>
      </c>
      <c r="B179" s="24"/>
      <c r="C179" s="409" t="s">
        <v>640</v>
      </c>
      <c r="D179" s="501">
        <v>0.84</v>
      </c>
      <c r="E179" s="502">
        <v>3.3000000000000002E-2</v>
      </c>
      <c r="F179" s="503">
        <v>0.01</v>
      </c>
      <c r="G179" s="508">
        <v>5.5</v>
      </c>
      <c r="H179" s="509"/>
      <c r="I179" s="399"/>
      <c r="J179" s="500"/>
    </row>
    <row r="180" spans="1:10" ht="35.049999999999997" customHeight="1" x14ac:dyDescent="0.3">
      <c r="A180" s="398" t="s">
        <v>594</v>
      </c>
      <c r="B180" s="24"/>
      <c r="C180" s="391" t="s">
        <v>577</v>
      </c>
      <c r="D180" s="501">
        <v>0.84</v>
      </c>
      <c r="E180" s="502">
        <v>3.3000000000000002E-2</v>
      </c>
      <c r="F180" s="503">
        <v>0.01</v>
      </c>
      <c r="G180" s="509"/>
      <c r="H180" s="509"/>
      <c r="I180" s="399"/>
      <c r="J180" s="500"/>
    </row>
    <row r="181" spans="1:10" ht="35.049999999999997" customHeight="1" x14ac:dyDescent="0.3">
      <c r="A181" s="398" t="s">
        <v>915</v>
      </c>
      <c r="B181" s="24"/>
      <c r="C181" s="395">
        <v>0</v>
      </c>
      <c r="D181" s="501">
        <v>0.63600000000000001</v>
      </c>
      <c r="E181" s="502">
        <v>2.4E-2</v>
      </c>
      <c r="F181" s="503">
        <v>7.0000000000000001E-3</v>
      </c>
      <c r="G181" s="508">
        <v>1.19</v>
      </c>
      <c r="H181" s="508">
        <v>0.26</v>
      </c>
      <c r="I181" s="400">
        <v>0.5</v>
      </c>
      <c r="J181" s="499">
        <v>2.1000000000000001E-2</v>
      </c>
    </row>
    <row r="182" spans="1:10" ht="35.049999999999997" customHeight="1" x14ac:dyDescent="0.3">
      <c r="A182" s="398" t="s">
        <v>916</v>
      </c>
      <c r="B182" s="24"/>
      <c r="C182" s="395">
        <v>0</v>
      </c>
      <c r="D182" s="501">
        <v>0.63600000000000001</v>
      </c>
      <c r="E182" s="502">
        <v>2.4E-2</v>
      </c>
      <c r="F182" s="503">
        <v>7.0000000000000001E-3</v>
      </c>
      <c r="G182" s="508">
        <v>9.67</v>
      </c>
      <c r="H182" s="508">
        <v>0.26</v>
      </c>
      <c r="I182" s="400">
        <v>0.5</v>
      </c>
      <c r="J182" s="499">
        <v>2.1000000000000001E-2</v>
      </c>
    </row>
    <row r="183" spans="1:10" ht="35.049999999999997" customHeight="1" x14ac:dyDescent="0.3">
      <c r="A183" s="398" t="s">
        <v>917</v>
      </c>
      <c r="B183" s="24"/>
      <c r="C183" s="395">
        <v>0</v>
      </c>
      <c r="D183" s="501">
        <v>0.63600000000000001</v>
      </c>
      <c r="E183" s="502">
        <v>2.4E-2</v>
      </c>
      <c r="F183" s="503">
        <v>7.0000000000000001E-3</v>
      </c>
      <c r="G183" s="508">
        <v>15.48</v>
      </c>
      <c r="H183" s="508">
        <v>0.26</v>
      </c>
      <c r="I183" s="400">
        <v>0.5</v>
      </c>
      <c r="J183" s="499">
        <v>2.1000000000000001E-2</v>
      </c>
    </row>
    <row r="184" spans="1:10" ht="35.049999999999997" customHeight="1" x14ac:dyDescent="0.3">
      <c r="A184" s="398" t="s">
        <v>918</v>
      </c>
      <c r="B184" s="24"/>
      <c r="C184" s="395">
        <v>0</v>
      </c>
      <c r="D184" s="501">
        <v>0.63600000000000001</v>
      </c>
      <c r="E184" s="502">
        <v>2.4E-2</v>
      </c>
      <c r="F184" s="503">
        <v>7.0000000000000001E-3</v>
      </c>
      <c r="G184" s="508">
        <v>24.52</v>
      </c>
      <c r="H184" s="508">
        <v>0.26</v>
      </c>
      <c r="I184" s="400">
        <v>0.5</v>
      </c>
      <c r="J184" s="499">
        <v>2.1000000000000001E-2</v>
      </c>
    </row>
    <row r="185" spans="1:10" ht="35.049999999999997" customHeight="1" x14ac:dyDescent="0.3">
      <c r="A185" s="398" t="s">
        <v>919</v>
      </c>
      <c r="B185" s="24"/>
      <c r="C185" s="395">
        <v>0</v>
      </c>
      <c r="D185" s="501">
        <v>0.63600000000000001</v>
      </c>
      <c r="E185" s="502">
        <v>2.4E-2</v>
      </c>
      <c r="F185" s="503">
        <v>7.0000000000000001E-3</v>
      </c>
      <c r="G185" s="508">
        <v>53.1</v>
      </c>
      <c r="H185" s="508">
        <v>0.26</v>
      </c>
      <c r="I185" s="400">
        <v>0.5</v>
      </c>
      <c r="J185" s="499">
        <v>2.1000000000000001E-2</v>
      </c>
    </row>
    <row r="186" spans="1:10" ht="35.049999999999997" customHeight="1" x14ac:dyDescent="0.3">
      <c r="A186" s="398" t="s">
        <v>920</v>
      </c>
      <c r="B186" s="24"/>
      <c r="C186" s="395">
        <v>0</v>
      </c>
      <c r="D186" s="501">
        <v>0.627</v>
      </c>
      <c r="E186" s="502">
        <v>2.1999999999999999E-2</v>
      </c>
      <c r="F186" s="503">
        <v>6.0000000000000001E-3</v>
      </c>
      <c r="G186" s="508">
        <v>1.34</v>
      </c>
      <c r="H186" s="508">
        <v>0.59</v>
      </c>
      <c r="I186" s="400">
        <v>0.76</v>
      </c>
      <c r="J186" s="499">
        <v>0.02</v>
      </c>
    </row>
    <row r="187" spans="1:10" ht="35.049999999999997" customHeight="1" x14ac:dyDescent="0.3">
      <c r="A187" s="398" t="s">
        <v>921</v>
      </c>
      <c r="B187" s="24"/>
      <c r="C187" s="395">
        <v>0</v>
      </c>
      <c r="D187" s="501">
        <v>0.627</v>
      </c>
      <c r="E187" s="502">
        <v>2.1999999999999999E-2</v>
      </c>
      <c r="F187" s="503">
        <v>6.0000000000000001E-3</v>
      </c>
      <c r="G187" s="508">
        <v>13.89</v>
      </c>
      <c r="H187" s="508">
        <v>0.59</v>
      </c>
      <c r="I187" s="400">
        <v>0.76</v>
      </c>
      <c r="J187" s="499">
        <v>0.02</v>
      </c>
    </row>
    <row r="188" spans="1:10" ht="35.049999999999997" customHeight="1" x14ac:dyDescent="0.3">
      <c r="A188" s="398" t="s">
        <v>922</v>
      </c>
      <c r="B188" s="24"/>
      <c r="C188" s="395">
        <v>0</v>
      </c>
      <c r="D188" s="501">
        <v>0.627</v>
      </c>
      <c r="E188" s="502">
        <v>2.1999999999999999E-2</v>
      </c>
      <c r="F188" s="503">
        <v>6.0000000000000001E-3</v>
      </c>
      <c r="G188" s="508">
        <v>22.48</v>
      </c>
      <c r="H188" s="508">
        <v>0.59</v>
      </c>
      <c r="I188" s="400">
        <v>0.76</v>
      </c>
      <c r="J188" s="499">
        <v>0.02</v>
      </c>
    </row>
    <row r="189" spans="1:10" ht="35.049999999999997" customHeight="1" x14ac:dyDescent="0.3">
      <c r="A189" s="398" t="s">
        <v>923</v>
      </c>
      <c r="B189" s="24"/>
      <c r="C189" s="395">
        <v>0</v>
      </c>
      <c r="D189" s="501">
        <v>0.627</v>
      </c>
      <c r="E189" s="502">
        <v>2.1999999999999999E-2</v>
      </c>
      <c r="F189" s="503">
        <v>6.0000000000000001E-3</v>
      </c>
      <c r="G189" s="508">
        <v>35.86</v>
      </c>
      <c r="H189" s="508">
        <v>0.59</v>
      </c>
      <c r="I189" s="400">
        <v>0.76</v>
      </c>
      <c r="J189" s="499">
        <v>0.02</v>
      </c>
    </row>
    <row r="190" spans="1:10" ht="35.049999999999997" customHeight="1" x14ac:dyDescent="0.3">
      <c r="A190" s="398" t="s">
        <v>924</v>
      </c>
      <c r="B190" s="24"/>
      <c r="C190" s="395">
        <v>0</v>
      </c>
      <c r="D190" s="501">
        <v>0.627</v>
      </c>
      <c r="E190" s="502">
        <v>2.1999999999999999E-2</v>
      </c>
      <c r="F190" s="503">
        <v>6.0000000000000001E-3</v>
      </c>
      <c r="G190" s="508">
        <v>78.16</v>
      </c>
      <c r="H190" s="508">
        <v>0.59</v>
      </c>
      <c r="I190" s="400">
        <v>0.76</v>
      </c>
      <c r="J190" s="499">
        <v>0.02</v>
      </c>
    </row>
    <row r="191" spans="1:10" ht="35.049999999999997" customHeight="1" x14ac:dyDescent="0.3">
      <c r="A191" s="398" t="s">
        <v>925</v>
      </c>
      <c r="B191" s="24"/>
      <c r="C191" s="395">
        <v>0</v>
      </c>
      <c r="D191" s="501">
        <v>0.57399999999999995</v>
      </c>
      <c r="E191" s="502">
        <v>0.02</v>
      </c>
      <c r="F191" s="503">
        <v>5.0000000000000001E-3</v>
      </c>
      <c r="G191" s="508">
        <v>16.34</v>
      </c>
      <c r="H191" s="508">
        <v>0.5</v>
      </c>
      <c r="I191" s="400">
        <v>0.76</v>
      </c>
      <c r="J191" s="499">
        <v>1.7999999999999999E-2</v>
      </c>
    </row>
    <row r="192" spans="1:10" ht="35.049999999999997" customHeight="1" x14ac:dyDescent="0.3">
      <c r="A192" s="398" t="s">
        <v>926</v>
      </c>
      <c r="B192" s="24"/>
      <c r="C192" s="395">
        <v>0</v>
      </c>
      <c r="D192" s="501">
        <v>0.57399999999999995</v>
      </c>
      <c r="E192" s="502">
        <v>0.02</v>
      </c>
      <c r="F192" s="503">
        <v>5.0000000000000001E-3</v>
      </c>
      <c r="G192" s="508">
        <v>73.59</v>
      </c>
      <c r="H192" s="508">
        <v>0.5</v>
      </c>
      <c r="I192" s="400">
        <v>0.76</v>
      </c>
      <c r="J192" s="499">
        <v>1.7999999999999999E-2</v>
      </c>
    </row>
    <row r="193" spans="1:10" ht="35.049999999999997" customHeight="1" x14ac:dyDescent="0.3">
      <c r="A193" s="398" t="s">
        <v>927</v>
      </c>
      <c r="B193" s="24"/>
      <c r="C193" s="395">
        <v>0</v>
      </c>
      <c r="D193" s="501">
        <v>0.57399999999999995</v>
      </c>
      <c r="E193" s="502">
        <v>0.02</v>
      </c>
      <c r="F193" s="503">
        <v>5.0000000000000001E-3</v>
      </c>
      <c r="G193" s="508">
        <v>339.65</v>
      </c>
      <c r="H193" s="508">
        <v>0.5</v>
      </c>
      <c r="I193" s="400">
        <v>0.76</v>
      </c>
      <c r="J193" s="499">
        <v>1.7999999999999999E-2</v>
      </c>
    </row>
    <row r="194" spans="1:10" ht="35.049999999999997" customHeight="1" x14ac:dyDescent="0.3">
      <c r="A194" s="398" t="s">
        <v>928</v>
      </c>
      <c r="B194" s="24"/>
      <c r="C194" s="395">
        <v>0</v>
      </c>
      <c r="D194" s="501">
        <v>0.57399999999999995</v>
      </c>
      <c r="E194" s="502">
        <v>0.02</v>
      </c>
      <c r="F194" s="503">
        <v>5.0000000000000001E-3</v>
      </c>
      <c r="G194" s="508">
        <v>298.07</v>
      </c>
      <c r="H194" s="508">
        <v>0.5</v>
      </c>
      <c r="I194" s="400">
        <v>0.76</v>
      </c>
      <c r="J194" s="499">
        <v>1.7999999999999999E-2</v>
      </c>
    </row>
    <row r="195" spans="1:10" ht="35.049999999999997" customHeight="1" x14ac:dyDescent="0.3">
      <c r="A195" s="398" t="s">
        <v>929</v>
      </c>
      <c r="B195" s="24"/>
      <c r="C195" s="395">
        <v>0</v>
      </c>
      <c r="D195" s="501">
        <v>0.57399999999999995</v>
      </c>
      <c r="E195" s="502">
        <v>0.02</v>
      </c>
      <c r="F195" s="503">
        <v>5.0000000000000001E-3</v>
      </c>
      <c r="G195" s="508">
        <v>742.96</v>
      </c>
      <c r="H195" s="508">
        <v>0.5</v>
      </c>
      <c r="I195" s="400">
        <v>0.76</v>
      </c>
      <c r="J195" s="499">
        <v>1.7999999999999999E-2</v>
      </c>
    </row>
    <row r="196" spans="1:10" ht="35.049999999999997" customHeight="1" x14ac:dyDescent="0.3">
      <c r="A196" s="398" t="s">
        <v>595</v>
      </c>
      <c r="B196" s="24"/>
      <c r="C196" s="395" t="s">
        <v>616</v>
      </c>
      <c r="D196" s="504">
        <v>2.8610000000000002</v>
      </c>
      <c r="E196" s="505">
        <v>0.122</v>
      </c>
      <c r="F196" s="503">
        <v>0.1</v>
      </c>
      <c r="G196" s="509"/>
      <c r="H196" s="509"/>
      <c r="I196" s="399"/>
      <c r="J196" s="500"/>
    </row>
    <row r="197" spans="1:10" ht="35.049999999999997" customHeight="1" x14ac:dyDescent="0.3">
      <c r="A197" s="398" t="s">
        <v>711</v>
      </c>
      <c r="B197" s="24"/>
      <c r="C197" s="406">
        <v>0</v>
      </c>
      <c r="D197" s="501">
        <v>-0.96399999999999997</v>
      </c>
      <c r="E197" s="502">
        <v>-3.7999999999999999E-2</v>
      </c>
      <c r="F197" s="503">
        <v>-1.2E-2</v>
      </c>
      <c r="G197" s="508">
        <v>0</v>
      </c>
      <c r="H197" s="509"/>
      <c r="I197" s="399"/>
      <c r="J197" s="500"/>
    </row>
    <row r="198" spans="1:10" ht="35.049999999999997" customHeight="1" x14ac:dyDescent="0.3">
      <c r="A198" s="398" t="s">
        <v>712</v>
      </c>
      <c r="B198" s="397"/>
      <c r="C198" s="406">
        <v>0</v>
      </c>
      <c r="D198" s="501">
        <v>-0.93899999999999995</v>
      </c>
      <c r="E198" s="502">
        <v>-3.5999999999999997E-2</v>
      </c>
      <c r="F198" s="503">
        <v>-1.0999999999999999E-2</v>
      </c>
      <c r="G198" s="508">
        <v>0</v>
      </c>
      <c r="H198" s="509"/>
      <c r="I198" s="399"/>
      <c r="J198" s="500"/>
    </row>
    <row r="199" spans="1:10" ht="35.049999999999997" customHeight="1" x14ac:dyDescent="0.3">
      <c r="A199" s="398" t="s">
        <v>713</v>
      </c>
      <c r="B199" s="24"/>
      <c r="C199" s="406">
        <v>0</v>
      </c>
      <c r="D199" s="501">
        <v>-0.96399999999999997</v>
      </c>
      <c r="E199" s="502">
        <v>-3.7999999999999999E-2</v>
      </c>
      <c r="F199" s="503">
        <v>-1.2E-2</v>
      </c>
      <c r="G199" s="508">
        <v>0</v>
      </c>
      <c r="H199" s="509"/>
      <c r="I199" s="399"/>
      <c r="J199" s="499">
        <v>2.9000000000000001E-2</v>
      </c>
    </row>
    <row r="200" spans="1:10" ht="35.049999999999997" customHeight="1" x14ac:dyDescent="0.3">
      <c r="A200" s="398" t="s">
        <v>714</v>
      </c>
      <c r="B200" s="24"/>
      <c r="C200" s="406">
        <v>0</v>
      </c>
      <c r="D200" s="501">
        <v>-0.93899999999999995</v>
      </c>
      <c r="E200" s="502">
        <v>-3.5999999999999997E-2</v>
      </c>
      <c r="F200" s="503">
        <v>-1.0999999999999999E-2</v>
      </c>
      <c r="G200" s="508">
        <v>0</v>
      </c>
      <c r="H200" s="509"/>
      <c r="I200" s="399"/>
      <c r="J200" s="499">
        <v>2.8000000000000001E-2</v>
      </c>
    </row>
    <row r="201" spans="1:10" ht="35.049999999999997" customHeight="1" x14ac:dyDescent="0.3">
      <c r="A201" s="398" t="s">
        <v>715</v>
      </c>
      <c r="B201" s="24"/>
      <c r="C201" s="406">
        <v>0</v>
      </c>
      <c r="D201" s="501">
        <v>-1.0249999999999999</v>
      </c>
      <c r="E201" s="502">
        <v>-3.5999999999999997E-2</v>
      </c>
      <c r="F201" s="503">
        <v>-0.01</v>
      </c>
      <c r="G201" s="508">
        <v>2</v>
      </c>
      <c r="H201" s="509"/>
      <c r="I201" s="399"/>
      <c r="J201" s="499">
        <v>3.5999999999999997E-2</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5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pageSetUpPr fitToPage="1"/>
  </sheetPr>
  <dimension ref="A1:N201"/>
  <sheetViews>
    <sheetView zoomScale="50" zoomScaleNormal="50" workbookViewId="0">
      <selection activeCell="B10" sqref="B10: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0" t="s">
        <v>19</v>
      </c>
      <c r="C1" s="2"/>
      <c r="D1" s="2"/>
      <c r="H1" s="2"/>
      <c r="I1" s="3"/>
      <c r="J1" s="1"/>
      <c r="K1" s="1"/>
    </row>
    <row r="2" spans="1:14" ht="40" customHeight="1" x14ac:dyDescent="0.3">
      <c r="A2" s="612" t="str">
        <f>Overview!B4&amp;" - Effective from "&amp;Overview!D4&amp;" - Final LDNO tariffs in WPD South Wales Area (GSP Group_K)"</f>
        <v>Indigo Power Limited - Effective from 1 April 2023 - Final LDNO tariffs in WPD South Wales Area (GSP Group_K)</v>
      </c>
      <c r="B2" s="612"/>
      <c r="C2" s="612"/>
      <c r="D2" s="612"/>
      <c r="E2" s="612"/>
      <c r="F2" s="612"/>
      <c r="G2" s="612"/>
      <c r="H2" s="612"/>
      <c r="I2" s="612"/>
      <c r="J2" s="612"/>
    </row>
    <row r="3" spans="1:14" ht="40" customHeight="1" x14ac:dyDescent="0.3">
      <c r="A3" s="48"/>
      <c r="B3" s="48"/>
      <c r="C3" s="48"/>
      <c r="D3" s="48"/>
      <c r="E3" s="48"/>
      <c r="F3" s="48"/>
      <c r="G3" s="48"/>
      <c r="H3" s="48"/>
      <c r="I3" s="48"/>
      <c r="J3" s="48"/>
      <c r="L3" s="3"/>
    </row>
    <row r="4" spans="1:14" ht="40" customHeight="1" x14ac:dyDescent="0.3">
      <c r="A4" s="552" t="s">
        <v>308</v>
      </c>
      <c r="B4" s="552"/>
      <c r="C4" s="552"/>
      <c r="D4" s="552"/>
      <c r="E4" s="52"/>
      <c r="F4" s="552" t="s">
        <v>307</v>
      </c>
      <c r="G4" s="552"/>
      <c r="H4" s="552"/>
      <c r="I4" s="552"/>
      <c r="J4" s="552"/>
      <c r="L4" s="3"/>
      <c r="M4" s="3"/>
    </row>
    <row r="5" spans="1:14" ht="40" customHeight="1" x14ac:dyDescent="0.3">
      <c r="A5" s="468" t="s">
        <v>13</v>
      </c>
      <c r="B5" s="281" t="s">
        <v>299</v>
      </c>
      <c r="C5" s="286" t="s">
        <v>300</v>
      </c>
      <c r="D5" s="42" t="s">
        <v>301</v>
      </c>
      <c r="E5" s="45"/>
      <c r="F5" s="549"/>
      <c r="G5" s="550"/>
      <c r="H5" s="43" t="s">
        <v>305</v>
      </c>
      <c r="I5" s="44" t="s">
        <v>306</v>
      </c>
      <c r="J5" s="42" t="s">
        <v>301</v>
      </c>
      <c r="K5" s="45"/>
      <c r="L5" s="45"/>
      <c r="M5" s="3"/>
      <c r="N5" s="3"/>
    </row>
    <row r="6" spans="1:14" ht="40" customHeight="1" x14ac:dyDescent="0.3">
      <c r="A6" s="105" t="str">
        <f>'Annex 1 LV and HV charges_K'!A6</f>
        <v xml:space="preserve">Monday to Friday </v>
      </c>
      <c r="B6" s="95" t="str">
        <f>'Annex 1 LV and HV charges_K'!B6</f>
        <v>17:00 to 19:30</v>
      </c>
      <c r="C6" s="276" t="str">
        <f>'Annex 1 LV and HV charges_K'!C6</f>
        <v>07:30 to 17:00
19:30 to 22:00</v>
      </c>
      <c r="D6" s="96" t="str">
        <f>'Annex 1 LV and HV charges_K'!E6</f>
        <v>00:00 to 07:30
22:00 to 24:00</v>
      </c>
      <c r="E6" s="45"/>
      <c r="F6" s="584" t="str">
        <f>'Annex 1 LV and HV charges_K'!G6</f>
        <v>Monday to Friday Nov to Feb
(excluding 22nd Dec to
4th Jan inclusive)</v>
      </c>
      <c r="G6" s="584" t="str">
        <f>'Annex 1 LV and HV charges_K'!H6</f>
        <v/>
      </c>
      <c r="H6" s="95" t="str">
        <f>'Annex 1 LV and HV charges_K'!I6</f>
        <v>17:00 to 19:30</v>
      </c>
      <c r="I6" s="97" t="str">
        <f>'Annex 1 LV and HV charges_K'!J6</f>
        <v>07:30 to 17:00
19:30 to 22:00</v>
      </c>
      <c r="J6" s="97" t="str">
        <f>'Annex 1 LV and HV charges_K'!K6</f>
        <v>00:00 to 07:30
22:00 to 24:00</v>
      </c>
      <c r="K6" s="45"/>
      <c r="L6" s="45"/>
      <c r="M6" s="3"/>
      <c r="N6" s="3"/>
    </row>
    <row r="7" spans="1:14" ht="40" customHeight="1" x14ac:dyDescent="0.3">
      <c r="A7" s="105" t="str">
        <f>'Annex 1 LV and HV charges_K'!A7</f>
        <v>Weekends</v>
      </c>
      <c r="B7" s="98" t="str">
        <f>'Annex 1 LV and HV charges_K'!B7</f>
        <v/>
      </c>
      <c r="C7" s="280" t="str">
        <f>'Annex 1 LV and HV charges_K'!C7</f>
        <v>12:00 to 13:00
16:00 to 21:00</v>
      </c>
      <c r="D7" s="97" t="str">
        <f>'Annex 1 LV and HV charges_K'!E7</f>
        <v>00:00 to 12:00
13:00 to 16:00 
21:00 to 24:00</v>
      </c>
      <c r="E7" s="45"/>
      <c r="F7" s="584" t="str">
        <f>'Annex 1 LV and HV charges_K'!G7</f>
        <v>Monday to Friday Mar to Oct
(plus 22nd Dec to
4th Jan inclusive)</v>
      </c>
      <c r="G7" s="584" t="str">
        <f>'Annex 1 LV and HV charges_K'!H7</f>
        <v/>
      </c>
      <c r="H7" s="98" t="str">
        <f>'Annex 1 LV and HV charges_K'!I7</f>
        <v/>
      </c>
      <c r="I7" s="97" t="str">
        <f>'Annex 1 LV and HV charges_K'!J7</f>
        <v>07:30 to 22:00</v>
      </c>
      <c r="J7" s="97" t="str">
        <f>'Annex 1 LV and HV charges_K'!K7</f>
        <v>00:00 to 07:30
22:00 to 24:00</v>
      </c>
      <c r="K7" s="45"/>
      <c r="L7" s="45"/>
      <c r="M7" s="3"/>
      <c r="N7" s="3"/>
    </row>
    <row r="8" spans="1:14" ht="40" customHeight="1" x14ac:dyDescent="0.3">
      <c r="A8" s="465" t="str">
        <f>'Annex 1 LV and HV charges_K'!A8</f>
        <v>Notes</v>
      </c>
      <c r="B8" s="569" t="str">
        <f>'Annex 1 LV and HV charges_K'!B8</f>
        <v>All the above times are in UK Clock time</v>
      </c>
      <c r="C8" s="569" t="str">
        <f>'Annex 1 LV and HV charges_K'!C8</f>
        <v/>
      </c>
      <c r="D8" s="569" t="str">
        <f>'Annex 1 LV and HV charges_K'!D8</f>
        <v/>
      </c>
      <c r="E8" s="45"/>
      <c r="F8" s="584" t="str">
        <f>'Annex 1 LV and HV charges_K'!G8</f>
        <v>Weekends</v>
      </c>
      <c r="G8" s="584" t="str">
        <f>'Annex 1 LV and HV charges_K'!H8</f>
        <v/>
      </c>
      <c r="H8" s="98" t="str">
        <f>'Annex 1 LV and HV charges_K'!I8</f>
        <v/>
      </c>
      <c r="I8" s="97" t="str">
        <f>'Annex 1 LV and HV charges_K'!J8</f>
        <v>12:00 to 13:00
16:00 to 21:00</v>
      </c>
      <c r="J8" s="97" t="str">
        <f>'Annex 1 LV and HV charges_K'!K8</f>
        <v>00:00 to 12:00
13:00 to 16:00
21:00 to 24:00</v>
      </c>
      <c r="K8" s="45"/>
      <c r="L8" s="45"/>
      <c r="M8" s="3"/>
      <c r="N8" s="3"/>
    </row>
    <row r="9" spans="1:14" s="41" customFormat="1" ht="40" customHeight="1" x14ac:dyDescent="0.3">
      <c r="A9" s="185"/>
      <c r="B9" s="278"/>
      <c r="C9" s="186"/>
      <c r="D9" s="278"/>
      <c r="E9" s="49"/>
      <c r="F9" s="569" t="str">
        <f>'Annex 1 LV and HV charges_K'!G9</f>
        <v>Notes</v>
      </c>
      <c r="G9" s="569" t="str">
        <f>'Annex 1 LV and HV charges_K'!H9</f>
        <v/>
      </c>
      <c r="H9" s="537" t="str">
        <f>'Annex 1 LV and HV charges_K'!I9</f>
        <v>All the above times are in UK Clock time</v>
      </c>
      <c r="I9" s="546" t="str">
        <f>'Annex 1 LV and HV charges_K'!J9</f>
        <v/>
      </c>
      <c r="J9" s="538" t="str">
        <f>'Annex 1 LV and HV charges_K'!K9</f>
        <v/>
      </c>
      <c r="K9" s="45"/>
      <c r="L9" s="45"/>
      <c r="M9" s="29"/>
      <c r="N9" s="29"/>
    </row>
    <row r="10" spans="1:14" s="47" customFormat="1" ht="40" customHeight="1" x14ac:dyDescent="0.3">
      <c r="A10" s="111"/>
      <c r="B10" s="661" t="s">
        <v>480</v>
      </c>
      <c r="C10" s="561"/>
      <c r="D10" s="562"/>
      <c r="E10" s="187"/>
      <c r="F10" s="662"/>
      <c r="G10" s="663"/>
      <c r="H10" s="188"/>
      <c r="I10" s="278"/>
      <c r="J10" s="278"/>
      <c r="K10" s="45"/>
      <c r="L10" s="45"/>
      <c r="M10" s="46"/>
      <c r="N10" s="46"/>
    </row>
    <row r="11" spans="1:14" ht="75" customHeight="1" x14ac:dyDescent="0.3">
      <c r="A11" s="18" t="s">
        <v>455</v>
      </c>
      <c r="B11" s="18" t="s">
        <v>31</v>
      </c>
      <c r="C11" s="433" t="s">
        <v>24</v>
      </c>
      <c r="D11" s="374" t="s">
        <v>579</v>
      </c>
      <c r="E11" s="374" t="s">
        <v>580</v>
      </c>
      <c r="F11" s="374" t="s">
        <v>581</v>
      </c>
      <c r="G11" s="433" t="s">
        <v>25</v>
      </c>
      <c r="H11" s="433" t="s">
        <v>26</v>
      </c>
      <c r="I11" s="433" t="s">
        <v>456</v>
      </c>
      <c r="J11" s="433" t="s">
        <v>270</v>
      </c>
      <c r="K11" s="1"/>
    </row>
    <row r="12" spans="1:14" ht="35.049999999999997" customHeight="1" x14ac:dyDescent="0.3">
      <c r="A12" s="398" t="s">
        <v>786</v>
      </c>
      <c r="B12" s="17" t="s">
        <v>480</v>
      </c>
      <c r="C12" s="405" t="s">
        <v>574</v>
      </c>
      <c r="D12" s="481">
        <v>7.4710000000000001</v>
      </c>
      <c r="E12" s="478">
        <v>0.81799999999999995</v>
      </c>
      <c r="F12" s="479">
        <v>8.8999999999999996E-2</v>
      </c>
      <c r="G12" s="480">
        <v>9.8000000000000007</v>
      </c>
      <c r="H12" s="476">
        <v>0</v>
      </c>
      <c r="I12" s="516">
        <v>0</v>
      </c>
      <c r="J12" s="482">
        <v>0</v>
      </c>
      <c r="K12" s="1"/>
    </row>
    <row r="13" spans="1:14" ht="35.049999999999997" customHeight="1" x14ac:dyDescent="0.3">
      <c r="A13" s="398" t="s">
        <v>787</v>
      </c>
      <c r="B13" s="17" t="s">
        <v>480</v>
      </c>
      <c r="C13" s="405" t="s">
        <v>575</v>
      </c>
      <c r="D13" s="481">
        <v>7.4710000000000001</v>
      </c>
      <c r="E13" s="478">
        <v>0.81799999999999995</v>
      </c>
      <c r="F13" s="479">
        <v>8.8999999999999996E-2</v>
      </c>
      <c r="G13" s="476">
        <v>0</v>
      </c>
      <c r="H13" s="476">
        <v>0</v>
      </c>
      <c r="I13" s="516">
        <v>0</v>
      </c>
      <c r="J13" s="482">
        <v>0</v>
      </c>
      <c r="K13" s="1"/>
    </row>
    <row r="14" spans="1:14" ht="35.049999999999997" customHeight="1" x14ac:dyDescent="0.3">
      <c r="A14" s="398" t="s">
        <v>788</v>
      </c>
      <c r="B14" s="17" t="s">
        <v>480</v>
      </c>
      <c r="C14" s="405" t="s">
        <v>930</v>
      </c>
      <c r="D14" s="481">
        <v>6.7409999999999997</v>
      </c>
      <c r="E14" s="478">
        <v>0.73799999999999999</v>
      </c>
      <c r="F14" s="479">
        <v>8.1000000000000003E-2</v>
      </c>
      <c r="G14" s="480">
        <v>8.17</v>
      </c>
      <c r="H14" s="476">
        <v>0</v>
      </c>
      <c r="I14" s="516">
        <v>0</v>
      </c>
      <c r="J14" s="482">
        <v>0</v>
      </c>
      <c r="K14" s="1"/>
    </row>
    <row r="15" spans="1:14" ht="35.049999999999997" customHeight="1" x14ac:dyDescent="0.3">
      <c r="A15" s="398" t="s">
        <v>789</v>
      </c>
      <c r="B15" s="17" t="s">
        <v>480</v>
      </c>
      <c r="C15" s="405" t="s">
        <v>930</v>
      </c>
      <c r="D15" s="481">
        <v>6.7409999999999997</v>
      </c>
      <c r="E15" s="478">
        <v>0.73799999999999999</v>
      </c>
      <c r="F15" s="479">
        <v>8.1000000000000003E-2</v>
      </c>
      <c r="G15" s="480">
        <v>10.82</v>
      </c>
      <c r="H15" s="476">
        <v>0</v>
      </c>
      <c r="I15" s="516">
        <v>0</v>
      </c>
      <c r="J15" s="482">
        <v>0</v>
      </c>
      <c r="K15" s="1"/>
    </row>
    <row r="16" spans="1:14" ht="35.049999999999997" customHeight="1" x14ac:dyDescent="0.3">
      <c r="A16" s="398" t="s">
        <v>790</v>
      </c>
      <c r="B16" s="17" t="s">
        <v>480</v>
      </c>
      <c r="C16" s="405" t="s">
        <v>930</v>
      </c>
      <c r="D16" s="481">
        <v>6.7409999999999997</v>
      </c>
      <c r="E16" s="478">
        <v>0.73799999999999999</v>
      </c>
      <c r="F16" s="479">
        <v>8.1000000000000003E-2</v>
      </c>
      <c r="G16" s="480">
        <v>21.29</v>
      </c>
      <c r="H16" s="476">
        <v>0</v>
      </c>
      <c r="I16" s="516">
        <v>0</v>
      </c>
      <c r="J16" s="482">
        <v>0</v>
      </c>
      <c r="K16" s="1"/>
    </row>
    <row r="17" spans="1:11" ht="35.049999999999997" customHeight="1" x14ac:dyDescent="0.3">
      <c r="A17" s="398" t="s">
        <v>791</v>
      </c>
      <c r="B17" s="17" t="s">
        <v>480</v>
      </c>
      <c r="C17" s="405" t="s">
        <v>930</v>
      </c>
      <c r="D17" s="481">
        <v>6.7409999999999997</v>
      </c>
      <c r="E17" s="478">
        <v>0.73799999999999999</v>
      </c>
      <c r="F17" s="479">
        <v>8.1000000000000003E-2</v>
      </c>
      <c r="G17" s="480">
        <v>40.119999999999997</v>
      </c>
      <c r="H17" s="476">
        <v>0</v>
      </c>
      <c r="I17" s="516">
        <v>0</v>
      </c>
      <c r="J17" s="482">
        <v>0</v>
      </c>
      <c r="K17" s="1"/>
    </row>
    <row r="18" spans="1:11" ht="35.049999999999997" customHeight="1" x14ac:dyDescent="0.3">
      <c r="A18" s="398" t="s">
        <v>792</v>
      </c>
      <c r="B18" s="17" t="s">
        <v>480</v>
      </c>
      <c r="C18" s="405" t="s">
        <v>930</v>
      </c>
      <c r="D18" s="481">
        <v>6.7409999999999997</v>
      </c>
      <c r="E18" s="478">
        <v>0.73799999999999999</v>
      </c>
      <c r="F18" s="479">
        <v>8.1000000000000003E-2</v>
      </c>
      <c r="G18" s="480">
        <v>110.33</v>
      </c>
      <c r="H18" s="476">
        <v>0</v>
      </c>
      <c r="I18" s="516">
        <v>0</v>
      </c>
      <c r="J18" s="482">
        <v>0</v>
      </c>
      <c r="K18" s="1"/>
    </row>
    <row r="19" spans="1:11" ht="35.049999999999997" customHeight="1" x14ac:dyDescent="0.3">
      <c r="A19" s="398" t="s">
        <v>582</v>
      </c>
      <c r="B19" s="17" t="s">
        <v>480</v>
      </c>
      <c r="C19" s="405" t="s">
        <v>577</v>
      </c>
      <c r="D19" s="481">
        <v>6.7409999999999997</v>
      </c>
      <c r="E19" s="478">
        <v>0.73799999999999999</v>
      </c>
      <c r="F19" s="479">
        <v>8.1000000000000003E-2</v>
      </c>
      <c r="G19" s="476">
        <v>0</v>
      </c>
      <c r="H19" s="476">
        <v>0</v>
      </c>
      <c r="I19" s="516">
        <v>0</v>
      </c>
      <c r="J19" s="482">
        <v>0</v>
      </c>
      <c r="K19" s="1"/>
    </row>
    <row r="20" spans="1:11" ht="35.049999999999997" customHeight="1" x14ac:dyDescent="0.3">
      <c r="A20" s="398" t="s">
        <v>793</v>
      </c>
      <c r="B20" s="17" t="s">
        <v>480</v>
      </c>
      <c r="C20" s="405">
        <v>0</v>
      </c>
      <c r="D20" s="481">
        <v>5.1559999999999997</v>
      </c>
      <c r="E20" s="478">
        <v>0.55600000000000005</v>
      </c>
      <c r="F20" s="479">
        <v>6.5000000000000002E-2</v>
      </c>
      <c r="G20" s="480">
        <v>12.2</v>
      </c>
      <c r="H20" s="480">
        <v>3.03</v>
      </c>
      <c r="I20" s="485">
        <v>5.66</v>
      </c>
      <c r="J20" s="475">
        <v>0.114</v>
      </c>
      <c r="K20" s="1"/>
    </row>
    <row r="21" spans="1:11" ht="35.049999999999997" customHeight="1" x14ac:dyDescent="0.3">
      <c r="A21" s="398" t="s">
        <v>794</v>
      </c>
      <c r="B21" s="17" t="s">
        <v>480</v>
      </c>
      <c r="C21" s="405">
        <v>0</v>
      </c>
      <c r="D21" s="481">
        <v>5.1559999999999997</v>
      </c>
      <c r="E21" s="478">
        <v>0.55600000000000005</v>
      </c>
      <c r="F21" s="479">
        <v>6.5000000000000002E-2</v>
      </c>
      <c r="G21" s="480">
        <v>176.06</v>
      </c>
      <c r="H21" s="480">
        <v>3.03</v>
      </c>
      <c r="I21" s="485">
        <v>5.66</v>
      </c>
      <c r="J21" s="475">
        <v>0.114</v>
      </c>
      <c r="K21" s="1"/>
    </row>
    <row r="22" spans="1:11" ht="35.049999999999997" customHeight="1" x14ac:dyDescent="0.3">
      <c r="A22" s="398" t="s">
        <v>795</v>
      </c>
      <c r="B22" s="17" t="s">
        <v>480</v>
      </c>
      <c r="C22" s="405">
        <v>0</v>
      </c>
      <c r="D22" s="481">
        <v>5.1559999999999997</v>
      </c>
      <c r="E22" s="478">
        <v>0.55600000000000005</v>
      </c>
      <c r="F22" s="479">
        <v>6.5000000000000002E-2</v>
      </c>
      <c r="G22" s="480">
        <v>340.36</v>
      </c>
      <c r="H22" s="480">
        <v>3.03</v>
      </c>
      <c r="I22" s="485">
        <v>5.66</v>
      </c>
      <c r="J22" s="475">
        <v>0.114</v>
      </c>
      <c r="K22" s="1"/>
    </row>
    <row r="23" spans="1:11" ht="35.049999999999997" customHeight="1" x14ac:dyDescent="0.3">
      <c r="A23" s="398" t="s">
        <v>796</v>
      </c>
      <c r="B23" s="17" t="s">
        <v>480</v>
      </c>
      <c r="C23" s="405">
        <v>0</v>
      </c>
      <c r="D23" s="481">
        <v>5.1559999999999997</v>
      </c>
      <c r="E23" s="478">
        <v>0.55600000000000005</v>
      </c>
      <c r="F23" s="479">
        <v>6.5000000000000002E-2</v>
      </c>
      <c r="G23" s="480">
        <v>549.1</v>
      </c>
      <c r="H23" s="480">
        <v>3.03</v>
      </c>
      <c r="I23" s="485">
        <v>5.66</v>
      </c>
      <c r="J23" s="475">
        <v>0.114</v>
      </c>
      <c r="K23" s="1"/>
    </row>
    <row r="24" spans="1:11" ht="35.049999999999997" customHeight="1" x14ac:dyDescent="0.3">
      <c r="A24" s="398" t="s">
        <v>797</v>
      </c>
      <c r="B24" s="17" t="s">
        <v>480</v>
      </c>
      <c r="C24" s="405">
        <v>0</v>
      </c>
      <c r="D24" s="481">
        <v>5.1559999999999997</v>
      </c>
      <c r="E24" s="478">
        <v>0.55600000000000005</v>
      </c>
      <c r="F24" s="479">
        <v>6.5000000000000002E-2</v>
      </c>
      <c r="G24" s="480">
        <v>1289.58</v>
      </c>
      <c r="H24" s="480">
        <v>3.03</v>
      </c>
      <c r="I24" s="485">
        <v>5.66</v>
      </c>
      <c r="J24" s="475">
        <v>0.114</v>
      </c>
      <c r="K24" s="1"/>
    </row>
    <row r="25" spans="1:11" ht="35.049999999999997" customHeight="1" x14ac:dyDescent="0.3">
      <c r="A25" s="398" t="s">
        <v>583</v>
      </c>
      <c r="B25" s="17" t="s">
        <v>480</v>
      </c>
      <c r="C25" s="406" t="s">
        <v>616</v>
      </c>
      <c r="D25" s="477">
        <v>17.928999999999998</v>
      </c>
      <c r="E25" s="483">
        <v>2.1389999999999998</v>
      </c>
      <c r="F25" s="479">
        <v>1.5389999999999999</v>
      </c>
      <c r="G25" s="476">
        <v>0</v>
      </c>
      <c r="H25" s="476">
        <v>0</v>
      </c>
      <c r="I25" s="516">
        <v>0</v>
      </c>
      <c r="J25" s="482">
        <v>0</v>
      </c>
      <c r="K25" s="1"/>
    </row>
    <row r="26" spans="1:11" ht="35.049999999999997" customHeight="1" x14ac:dyDescent="0.3">
      <c r="A26" s="398" t="s">
        <v>686</v>
      </c>
      <c r="B26" s="17" t="s">
        <v>480</v>
      </c>
      <c r="C26" s="406">
        <v>0</v>
      </c>
      <c r="D26" s="481">
        <v>-7.4669999999999996</v>
      </c>
      <c r="E26" s="478">
        <v>-0.81699999999999995</v>
      </c>
      <c r="F26" s="479">
        <v>-8.8999999999999996E-2</v>
      </c>
      <c r="G26" s="508">
        <v>0</v>
      </c>
      <c r="H26" s="476">
        <v>0</v>
      </c>
      <c r="I26" s="516">
        <v>0</v>
      </c>
      <c r="J26" s="482">
        <v>0</v>
      </c>
      <c r="K26" s="1"/>
    </row>
    <row r="27" spans="1:11" ht="35.049999999999997" customHeight="1" x14ac:dyDescent="0.3">
      <c r="A27" s="398" t="s">
        <v>687</v>
      </c>
      <c r="B27" s="17" t="s">
        <v>480</v>
      </c>
      <c r="C27" s="406">
        <v>0</v>
      </c>
      <c r="D27" s="481">
        <v>-7.4669999999999996</v>
      </c>
      <c r="E27" s="478">
        <v>-0.81699999999999995</v>
      </c>
      <c r="F27" s="479">
        <v>-8.8999999999999996E-2</v>
      </c>
      <c r="G27" s="508">
        <v>0</v>
      </c>
      <c r="H27" s="476">
        <v>0</v>
      </c>
      <c r="I27" s="516">
        <v>0</v>
      </c>
      <c r="J27" s="475">
        <v>0.19</v>
      </c>
      <c r="K27" s="1"/>
    </row>
    <row r="28" spans="1:11" ht="35.049999999999997" customHeight="1" x14ac:dyDescent="0.3">
      <c r="A28" s="401" t="s">
        <v>798</v>
      </c>
      <c r="B28" s="17" t="s">
        <v>480</v>
      </c>
      <c r="C28" s="406" t="s">
        <v>574</v>
      </c>
      <c r="D28" s="481">
        <v>4.6520000000000001</v>
      </c>
      <c r="E28" s="478">
        <v>0.50900000000000001</v>
      </c>
      <c r="F28" s="479">
        <v>5.6000000000000001E-2</v>
      </c>
      <c r="G28" s="480">
        <v>6.21</v>
      </c>
      <c r="H28" s="476">
        <v>0</v>
      </c>
      <c r="I28" s="516">
        <v>0</v>
      </c>
      <c r="J28" s="482">
        <v>0</v>
      </c>
      <c r="K28" s="1"/>
    </row>
    <row r="29" spans="1:11" ht="35.049999999999997" customHeight="1" x14ac:dyDescent="0.3">
      <c r="A29" s="401" t="s">
        <v>799</v>
      </c>
      <c r="B29" s="17" t="s">
        <v>480</v>
      </c>
      <c r="C29" s="406" t="s">
        <v>575</v>
      </c>
      <c r="D29" s="481">
        <v>4.6520000000000001</v>
      </c>
      <c r="E29" s="478">
        <v>0.50900000000000001</v>
      </c>
      <c r="F29" s="479">
        <v>5.6000000000000001E-2</v>
      </c>
      <c r="G29" s="476">
        <v>0</v>
      </c>
      <c r="H29" s="476">
        <v>0</v>
      </c>
      <c r="I29" s="516">
        <v>0</v>
      </c>
      <c r="J29" s="482">
        <v>0</v>
      </c>
      <c r="K29" s="1"/>
    </row>
    <row r="30" spans="1:11" ht="35.049999999999997" customHeight="1" x14ac:dyDescent="0.3">
      <c r="A30" s="401" t="s">
        <v>800</v>
      </c>
      <c r="B30" s="17" t="s">
        <v>480</v>
      </c>
      <c r="C30" s="406" t="s">
        <v>930</v>
      </c>
      <c r="D30" s="481">
        <v>4.1970000000000001</v>
      </c>
      <c r="E30" s="478">
        <v>0.45900000000000002</v>
      </c>
      <c r="F30" s="479">
        <v>0.05</v>
      </c>
      <c r="G30" s="480">
        <v>5.16</v>
      </c>
      <c r="H30" s="476">
        <v>0</v>
      </c>
      <c r="I30" s="516">
        <v>0</v>
      </c>
      <c r="J30" s="482">
        <v>0</v>
      </c>
      <c r="K30" s="1"/>
    </row>
    <row r="31" spans="1:11" ht="35.049999999999997" customHeight="1" x14ac:dyDescent="0.3">
      <c r="A31" s="401" t="s">
        <v>801</v>
      </c>
      <c r="B31" s="17" t="s">
        <v>480</v>
      </c>
      <c r="C31" s="406" t="s">
        <v>930</v>
      </c>
      <c r="D31" s="481">
        <v>4.1970000000000001</v>
      </c>
      <c r="E31" s="478">
        <v>0.45900000000000002</v>
      </c>
      <c r="F31" s="479">
        <v>0.05</v>
      </c>
      <c r="G31" s="480">
        <v>6.81</v>
      </c>
      <c r="H31" s="476">
        <v>0</v>
      </c>
      <c r="I31" s="516">
        <v>0</v>
      </c>
      <c r="J31" s="482">
        <v>0</v>
      </c>
      <c r="K31" s="1"/>
    </row>
    <row r="32" spans="1:11" ht="35.049999999999997" customHeight="1" x14ac:dyDescent="0.3">
      <c r="A32" s="401" t="s">
        <v>802</v>
      </c>
      <c r="B32" s="17" t="s">
        <v>480</v>
      </c>
      <c r="C32" s="406" t="s">
        <v>930</v>
      </c>
      <c r="D32" s="481">
        <v>4.1970000000000001</v>
      </c>
      <c r="E32" s="478">
        <v>0.45900000000000002</v>
      </c>
      <c r="F32" s="479">
        <v>0.05</v>
      </c>
      <c r="G32" s="480">
        <v>13.33</v>
      </c>
      <c r="H32" s="476">
        <v>0</v>
      </c>
      <c r="I32" s="516">
        <v>0</v>
      </c>
      <c r="J32" s="482">
        <v>0</v>
      </c>
      <c r="K32" s="1"/>
    </row>
    <row r="33" spans="1:11" ht="35.049999999999997" customHeight="1" x14ac:dyDescent="0.3">
      <c r="A33" s="401" t="s">
        <v>803</v>
      </c>
      <c r="B33" s="17" t="s">
        <v>480</v>
      </c>
      <c r="C33" s="406" t="s">
        <v>930</v>
      </c>
      <c r="D33" s="481">
        <v>4.1970000000000001</v>
      </c>
      <c r="E33" s="478">
        <v>0.45900000000000002</v>
      </c>
      <c r="F33" s="479">
        <v>0.05</v>
      </c>
      <c r="G33" s="480">
        <v>25.05</v>
      </c>
      <c r="H33" s="476">
        <v>0</v>
      </c>
      <c r="I33" s="516">
        <v>0</v>
      </c>
      <c r="J33" s="482">
        <v>0</v>
      </c>
      <c r="K33" s="1"/>
    </row>
    <row r="34" spans="1:11" ht="35.049999999999997" customHeight="1" x14ac:dyDescent="0.3">
      <c r="A34" s="401" t="s">
        <v>804</v>
      </c>
      <c r="B34" s="17" t="s">
        <v>480</v>
      </c>
      <c r="C34" s="406" t="s">
        <v>930</v>
      </c>
      <c r="D34" s="481">
        <v>4.1970000000000001</v>
      </c>
      <c r="E34" s="478">
        <v>0.45900000000000002</v>
      </c>
      <c r="F34" s="479">
        <v>0.05</v>
      </c>
      <c r="G34" s="480">
        <v>68.760000000000005</v>
      </c>
      <c r="H34" s="476">
        <v>0</v>
      </c>
      <c r="I34" s="516">
        <v>0</v>
      </c>
      <c r="J34" s="482">
        <v>0</v>
      </c>
      <c r="K34" s="1"/>
    </row>
    <row r="35" spans="1:11" ht="35.049999999999997" customHeight="1" x14ac:dyDescent="0.3">
      <c r="A35" s="401" t="s">
        <v>584</v>
      </c>
      <c r="B35" s="17" t="s">
        <v>480</v>
      </c>
      <c r="C35" s="406" t="s">
        <v>577</v>
      </c>
      <c r="D35" s="481">
        <v>4.1970000000000001</v>
      </c>
      <c r="E35" s="478">
        <v>0.45900000000000002</v>
      </c>
      <c r="F35" s="479">
        <v>0.05</v>
      </c>
      <c r="G35" s="476">
        <v>0</v>
      </c>
      <c r="H35" s="476">
        <v>0</v>
      </c>
      <c r="I35" s="516">
        <v>0</v>
      </c>
      <c r="J35" s="482">
        <v>0</v>
      </c>
      <c r="K35" s="1"/>
    </row>
    <row r="36" spans="1:11" ht="35.049999999999997" customHeight="1" x14ac:dyDescent="0.3">
      <c r="A36" s="401" t="s">
        <v>805</v>
      </c>
      <c r="B36" s="17" t="s">
        <v>480</v>
      </c>
      <c r="C36" s="406">
        <v>0</v>
      </c>
      <c r="D36" s="481">
        <v>3.21</v>
      </c>
      <c r="E36" s="478">
        <v>0.34599999999999997</v>
      </c>
      <c r="F36" s="479">
        <v>4.1000000000000002E-2</v>
      </c>
      <c r="G36" s="480">
        <v>7.67</v>
      </c>
      <c r="H36" s="480">
        <v>1.89</v>
      </c>
      <c r="I36" s="485">
        <v>3.52</v>
      </c>
      <c r="J36" s="475">
        <v>7.0999999999999994E-2</v>
      </c>
      <c r="K36" s="1"/>
    </row>
    <row r="37" spans="1:11" ht="35.049999999999997" customHeight="1" x14ac:dyDescent="0.3">
      <c r="A37" s="401" t="s">
        <v>806</v>
      </c>
      <c r="B37" s="17" t="s">
        <v>480</v>
      </c>
      <c r="C37" s="406">
        <v>0</v>
      </c>
      <c r="D37" s="481">
        <v>3.21</v>
      </c>
      <c r="E37" s="478">
        <v>0.34599999999999997</v>
      </c>
      <c r="F37" s="479">
        <v>4.1000000000000002E-2</v>
      </c>
      <c r="G37" s="480">
        <v>109.68</v>
      </c>
      <c r="H37" s="480">
        <v>1.89</v>
      </c>
      <c r="I37" s="485">
        <v>3.52</v>
      </c>
      <c r="J37" s="475">
        <v>7.0999999999999994E-2</v>
      </c>
      <c r="K37" s="1"/>
    </row>
    <row r="38" spans="1:11" ht="35.049999999999997" customHeight="1" x14ac:dyDescent="0.3">
      <c r="A38" s="401" t="s">
        <v>807</v>
      </c>
      <c r="B38" s="17" t="s">
        <v>480</v>
      </c>
      <c r="C38" s="406">
        <v>0</v>
      </c>
      <c r="D38" s="481">
        <v>3.21</v>
      </c>
      <c r="E38" s="478">
        <v>0.34599999999999997</v>
      </c>
      <c r="F38" s="479">
        <v>4.1000000000000002E-2</v>
      </c>
      <c r="G38" s="480">
        <v>211.98</v>
      </c>
      <c r="H38" s="480">
        <v>1.89</v>
      </c>
      <c r="I38" s="485">
        <v>3.52</v>
      </c>
      <c r="J38" s="475">
        <v>7.0999999999999994E-2</v>
      </c>
      <c r="K38" s="1"/>
    </row>
    <row r="39" spans="1:11" ht="35.049999999999997" customHeight="1" x14ac:dyDescent="0.3">
      <c r="A39" s="401" t="s">
        <v>808</v>
      </c>
      <c r="B39" s="17" t="s">
        <v>480</v>
      </c>
      <c r="C39" s="406">
        <v>0</v>
      </c>
      <c r="D39" s="481">
        <v>3.21</v>
      </c>
      <c r="E39" s="478">
        <v>0.34599999999999997</v>
      </c>
      <c r="F39" s="479">
        <v>4.1000000000000002E-2</v>
      </c>
      <c r="G39" s="480">
        <v>341.94</v>
      </c>
      <c r="H39" s="480">
        <v>1.89</v>
      </c>
      <c r="I39" s="485">
        <v>3.52</v>
      </c>
      <c r="J39" s="475">
        <v>7.0999999999999994E-2</v>
      </c>
      <c r="K39" s="1"/>
    </row>
    <row r="40" spans="1:11" ht="35.049999999999997" customHeight="1" x14ac:dyDescent="0.3">
      <c r="A40" s="401" t="s">
        <v>809</v>
      </c>
      <c r="B40" s="17" t="s">
        <v>480</v>
      </c>
      <c r="C40" s="406">
        <v>0</v>
      </c>
      <c r="D40" s="481">
        <v>3.21</v>
      </c>
      <c r="E40" s="478">
        <v>0.34599999999999997</v>
      </c>
      <c r="F40" s="479">
        <v>4.1000000000000002E-2</v>
      </c>
      <c r="G40" s="480">
        <v>802.97</v>
      </c>
      <c r="H40" s="480">
        <v>1.89</v>
      </c>
      <c r="I40" s="485">
        <v>3.52</v>
      </c>
      <c r="J40" s="475">
        <v>7.0999999999999994E-2</v>
      </c>
      <c r="K40" s="1"/>
    </row>
    <row r="41" spans="1:11" ht="35.049999999999997" customHeight="1" x14ac:dyDescent="0.3">
      <c r="A41" s="401" t="s">
        <v>810</v>
      </c>
      <c r="B41" s="17" t="s">
        <v>480</v>
      </c>
      <c r="C41" s="406">
        <v>0</v>
      </c>
      <c r="D41" s="481">
        <v>3.4790000000000001</v>
      </c>
      <c r="E41" s="478">
        <v>0.36</v>
      </c>
      <c r="F41" s="479">
        <v>0.05</v>
      </c>
      <c r="G41" s="480">
        <v>9.19</v>
      </c>
      <c r="H41" s="480">
        <v>3.02</v>
      </c>
      <c r="I41" s="485">
        <v>5.0599999999999996</v>
      </c>
      <c r="J41" s="475">
        <v>7.8E-2</v>
      </c>
      <c r="K41" s="1"/>
    </row>
    <row r="42" spans="1:11" ht="35.049999999999997" customHeight="1" x14ac:dyDescent="0.3">
      <c r="A42" s="401" t="s">
        <v>811</v>
      </c>
      <c r="B42" s="17" t="s">
        <v>480</v>
      </c>
      <c r="C42" s="406">
        <v>0</v>
      </c>
      <c r="D42" s="481">
        <v>3.4790000000000001</v>
      </c>
      <c r="E42" s="478">
        <v>0.36</v>
      </c>
      <c r="F42" s="479">
        <v>0.05</v>
      </c>
      <c r="G42" s="480">
        <v>166.44</v>
      </c>
      <c r="H42" s="480">
        <v>3.02</v>
      </c>
      <c r="I42" s="485">
        <v>5.0599999999999996</v>
      </c>
      <c r="J42" s="475">
        <v>7.8E-2</v>
      </c>
      <c r="K42" s="1"/>
    </row>
    <row r="43" spans="1:11" ht="35.049999999999997" customHeight="1" x14ac:dyDescent="0.3">
      <c r="A43" s="401" t="s">
        <v>812</v>
      </c>
      <c r="B43" s="17" t="s">
        <v>480</v>
      </c>
      <c r="C43" s="406">
        <v>0</v>
      </c>
      <c r="D43" s="481">
        <v>3.4790000000000001</v>
      </c>
      <c r="E43" s="478">
        <v>0.36</v>
      </c>
      <c r="F43" s="479">
        <v>0.05</v>
      </c>
      <c r="G43" s="480">
        <v>324.12</v>
      </c>
      <c r="H43" s="480">
        <v>3.02</v>
      </c>
      <c r="I43" s="485">
        <v>5.0599999999999996</v>
      </c>
      <c r="J43" s="475">
        <v>7.8E-2</v>
      </c>
      <c r="K43" s="1"/>
    </row>
    <row r="44" spans="1:11" ht="35.049999999999997" customHeight="1" x14ac:dyDescent="0.3">
      <c r="A44" s="401" t="s">
        <v>813</v>
      </c>
      <c r="B44" s="17" t="s">
        <v>480</v>
      </c>
      <c r="C44" s="406">
        <v>0</v>
      </c>
      <c r="D44" s="481">
        <v>3.4790000000000001</v>
      </c>
      <c r="E44" s="478">
        <v>0.36</v>
      </c>
      <c r="F44" s="479">
        <v>0.05</v>
      </c>
      <c r="G44" s="480">
        <v>524.45000000000005</v>
      </c>
      <c r="H44" s="480">
        <v>3.02</v>
      </c>
      <c r="I44" s="485">
        <v>5.0599999999999996</v>
      </c>
      <c r="J44" s="475">
        <v>7.8E-2</v>
      </c>
      <c r="K44" s="1"/>
    </row>
    <row r="45" spans="1:11" ht="35.049999999999997" customHeight="1" x14ac:dyDescent="0.3">
      <c r="A45" s="401" t="s">
        <v>814</v>
      </c>
      <c r="B45" s="17" t="s">
        <v>480</v>
      </c>
      <c r="C45" s="406">
        <v>0</v>
      </c>
      <c r="D45" s="481">
        <v>3.4790000000000001</v>
      </c>
      <c r="E45" s="478">
        <v>0.36</v>
      </c>
      <c r="F45" s="479">
        <v>0.05</v>
      </c>
      <c r="G45" s="480">
        <v>1235.0899999999999</v>
      </c>
      <c r="H45" s="480">
        <v>3.02</v>
      </c>
      <c r="I45" s="485">
        <v>5.0599999999999996</v>
      </c>
      <c r="J45" s="475">
        <v>7.8E-2</v>
      </c>
      <c r="K45" s="1"/>
    </row>
    <row r="46" spans="1:11" ht="35.049999999999997" customHeight="1" x14ac:dyDescent="0.3">
      <c r="A46" s="401" t="s">
        <v>815</v>
      </c>
      <c r="B46" s="17" t="s">
        <v>480</v>
      </c>
      <c r="C46" s="406">
        <v>0</v>
      </c>
      <c r="D46" s="481">
        <v>3.081</v>
      </c>
      <c r="E46" s="478">
        <v>0.309</v>
      </c>
      <c r="F46" s="479">
        <v>4.7E-2</v>
      </c>
      <c r="G46" s="480">
        <v>100.42</v>
      </c>
      <c r="H46" s="480">
        <v>3.75</v>
      </c>
      <c r="I46" s="485">
        <v>6.5</v>
      </c>
      <c r="J46" s="475">
        <v>6.4000000000000001E-2</v>
      </c>
      <c r="K46" s="1"/>
    </row>
    <row r="47" spans="1:11" ht="35.049999999999997" customHeight="1" x14ac:dyDescent="0.3">
      <c r="A47" s="401" t="s">
        <v>816</v>
      </c>
      <c r="B47" s="17" t="s">
        <v>480</v>
      </c>
      <c r="C47" s="406">
        <v>0</v>
      </c>
      <c r="D47" s="481">
        <v>3.081</v>
      </c>
      <c r="E47" s="478">
        <v>0.309</v>
      </c>
      <c r="F47" s="479">
        <v>4.7E-2</v>
      </c>
      <c r="G47" s="480">
        <v>1054.17</v>
      </c>
      <c r="H47" s="480">
        <v>3.75</v>
      </c>
      <c r="I47" s="485">
        <v>6.5</v>
      </c>
      <c r="J47" s="475">
        <v>6.4000000000000001E-2</v>
      </c>
      <c r="K47" s="1"/>
    </row>
    <row r="48" spans="1:11" ht="35.049999999999997" customHeight="1" x14ac:dyDescent="0.3">
      <c r="A48" s="401" t="s">
        <v>817</v>
      </c>
      <c r="B48" s="17" t="s">
        <v>480</v>
      </c>
      <c r="C48" s="406">
        <v>0</v>
      </c>
      <c r="D48" s="481">
        <v>3.081</v>
      </c>
      <c r="E48" s="478">
        <v>0.309</v>
      </c>
      <c r="F48" s="479">
        <v>4.7E-2</v>
      </c>
      <c r="G48" s="480">
        <v>3604.93</v>
      </c>
      <c r="H48" s="480">
        <v>3.75</v>
      </c>
      <c r="I48" s="485">
        <v>6.5</v>
      </c>
      <c r="J48" s="475">
        <v>6.4000000000000001E-2</v>
      </c>
      <c r="K48" s="1"/>
    </row>
    <row r="49" spans="1:11" ht="35.049999999999997" customHeight="1" x14ac:dyDescent="0.3">
      <c r="A49" s="401" t="s">
        <v>818</v>
      </c>
      <c r="B49" s="17" t="s">
        <v>480</v>
      </c>
      <c r="C49" s="406">
        <v>0</v>
      </c>
      <c r="D49" s="481">
        <v>3.081</v>
      </c>
      <c r="E49" s="478">
        <v>0.309</v>
      </c>
      <c r="F49" s="479">
        <v>4.7E-2</v>
      </c>
      <c r="G49" s="480">
        <v>7297.24</v>
      </c>
      <c r="H49" s="480">
        <v>3.75</v>
      </c>
      <c r="I49" s="485">
        <v>6.5</v>
      </c>
      <c r="J49" s="475">
        <v>6.4000000000000001E-2</v>
      </c>
      <c r="K49" s="1"/>
    </row>
    <row r="50" spans="1:11" ht="35.049999999999997" customHeight="1" x14ac:dyDescent="0.3">
      <c r="A50" s="401" t="s">
        <v>819</v>
      </c>
      <c r="B50" s="17" t="s">
        <v>480</v>
      </c>
      <c r="C50" s="406">
        <v>0</v>
      </c>
      <c r="D50" s="481">
        <v>3.081</v>
      </c>
      <c r="E50" s="478">
        <v>0.309</v>
      </c>
      <c r="F50" s="479">
        <v>4.7E-2</v>
      </c>
      <c r="G50" s="480">
        <v>16172.2</v>
      </c>
      <c r="H50" s="480">
        <v>3.75</v>
      </c>
      <c r="I50" s="485">
        <v>6.5</v>
      </c>
      <c r="J50" s="475">
        <v>6.4000000000000001E-2</v>
      </c>
      <c r="K50" s="1"/>
    </row>
    <row r="51" spans="1:11" ht="35.049999999999997" customHeight="1" x14ac:dyDescent="0.3">
      <c r="A51" s="401" t="s">
        <v>585</v>
      </c>
      <c r="B51" s="17" t="s">
        <v>480</v>
      </c>
      <c r="C51" s="406" t="s">
        <v>616</v>
      </c>
      <c r="D51" s="477">
        <v>11.162000000000001</v>
      </c>
      <c r="E51" s="483">
        <v>1.3320000000000001</v>
      </c>
      <c r="F51" s="479">
        <v>0.95799999999999996</v>
      </c>
      <c r="G51" s="476">
        <v>0</v>
      </c>
      <c r="H51" s="476">
        <v>0</v>
      </c>
      <c r="I51" s="516">
        <v>0</v>
      </c>
      <c r="J51" s="482">
        <v>0</v>
      </c>
      <c r="K51" s="1"/>
    </row>
    <row r="52" spans="1:11" ht="35.049999999999997" customHeight="1" x14ac:dyDescent="0.3">
      <c r="A52" s="401" t="s">
        <v>688</v>
      </c>
      <c r="B52" s="17" t="s">
        <v>480</v>
      </c>
      <c r="C52" s="406">
        <v>0</v>
      </c>
      <c r="D52" s="481">
        <v>-7.4669999999999996</v>
      </c>
      <c r="E52" s="478">
        <v>-0.81699999999999995</v>
      </c>
      <c r="F52" s="479">
        <v>-8.8999999999999996E-2</v>
      </c>
      <c r="G52" s="508">
        <v>0</v>
      </c>
      <c r="H52" s="476">
        <v>0</v>
      </c>
      <c r="I52" s="516">
        <v>0</v>
      </c>
      <c r="J52" s="482">
        <v>0</v>
      </c>
      <c r="K52" s="1"/>
    </row>
    <row r="53" spans="1:11" ht="35.049999999999997" customHeight="1" x14ac:dyDescent="0.3">
      <c r="A53" s="401" t="s">
        <v>689</v>
      </c>
      <c r="B53" s="17" t="s">
        <v>480</v>
      </c>
      <c r="C53" s="406">
        <v>0</v>
      </c>
      <c r="D53" s="481">
        <v>-6.774</v>
      </c>
      <c r="E53" s="478">
        <v>-0.73499999999999999</v>
      </c>
      <c r="F53" s="479">
        <v>-8.4000000000000005E-2</v>
      </c>
      <c r="G53" s="508">
        <v>0</v>
      </c>
      <c r="H53" s="476">
        <v>0</v>
      </c>
      <c r="I53" s="516">
        <v>0</v>
      </c>
      <c r="J53" s="482">
        <v>0</v>
      </c>
      <c r="K53" s="1"/>
    </row>
    <row r="54" spans="1:11" ht="35.049999999999997" customHeight="1" x14ac:dyDescent="0.3">
      <c r="A54" s="401" t="s">
        <v>599</v>
      </c>
      <c r="B54" s="17" t="s">
        <v>480</v>
      </c>
      <c r="C54" s="406">
        <v>0</v>
      </c>
      <c r="D54" s="481">
        <v>-7.4669999999999996</v>
      </c>
      <c r="E54" s="478">
        <v>-0.81699999999999995</v>
      </c>
      <c r="F54" s="479">
        <v>-8.8999999999999996E-2</v>
      </c>
      <c r="G54" s="508">
        <v>0</v>
      </c>
      <c r="H54" s="476">
        <v>0</v>
      </c>
      <c r="I54" s="516">
        <v>0</v>
      </c>
      <c r="J54" s="475">
        <v>0.19</v>
      </c>
      <c r="K54" s="1"/>
    </row>
    <row r="55" spans="1:11" ht="35.049999999999997" customHeight="1" x14ac:dyDescent="0.3">
      <c r="A55" s="401" t="s">
        <v>690</v>
      </c>
      <c r="B55" s="17" t="s">
        <v>480</v>
      </c>
      <c r="C55" s="406">
        <v>0</v>
      </c>
      <c r="D55" s="481">
        <v>-6.774</v>
      </c>
      <c r="E55" s="478">
        <v>-0.73499999999999999</v>
      </c>
      <c r="F55" s="479">
        <v>-8.4000000000000005E-2</v>
      </c>
      <c r="G55" s="508">
        <v>0</v>
      </c>
      <c r="H55" s="476">
        <v>0</v>
      </c>
      <c r="I55" s="516">
        <v>0</v>
      </c>
      <c r="J55" s="475">
        <v>0.155</v>
      </c>
      <c r="K55" s="1"/>
    </row>
    <row r="56" spans="1:11" ht="35.049999999999997" customHeight="1" x14ac:dyDescent="0.3">
      <c r="A56" s="401" t="s">
        <v>600</v>
      </c>
      <c r="B56" s="17" t="s">
        <v>480</v>
      </c>
      <c r="C56" s="406">
        <v>0</v>
      </c>
      <c r="D56" s="481">
        <v>-4.3579999999999997</v>
      </c>
      <c r="E56" s="478">
        <v>-0.44800000000000001</v>
      </c>
      <c r="F56" s="479">
        <v>-6.4000000000000001E-2</v>
      </c>
      <c r="G56" s="508">
        <v>0</v>
      </c>
      <c r="H56" s="476">
        <v>0</v>
      </c>
      <c r="I56" s="516">
        <v>0</v>
      </c>
      <c r="J56" s="475">
        <v>0.129</v>
      </c>
      <c r="K56" s="1"/>
    </row>
    <row r="57" spans="1:11" ht="35.049999999999997" customHeight="1" x14ac:dyDescent="0.3">
      <c r="A57" s="398" t="s">
        <v>820</v>
      </c>
      <c r="B57" s="17" t="s">
        <v>480</v>
      </c>
      <c r="C57" s="406" t="s">
        <v>574</v>
      </c>
      <c r="D57" s="481">
        <v>2.8530000000000002</v>
      </c>
      <c r="E57" s="478">
        <v>0.312</v>
      </c>
      <c r="F57" s="479">
        <v>3.4000000000000002E-2</v>
      </c>
      <c r="G57" s="480">
        <v>3.92</v>
      </c>
      <c r="H57" s="476">
        <v>0</v>
      </c>
      <c r="I57" s="516">
        <v>0</v>
      </c>
      <c r="J57" s="482">
        <v>0</v>
      </c>
      <c r="K57" s="1"/>
    </row>
    <row r="58" spans="1:11" ht="35.049999999999997" customHeight="1" x14ac:dyDescent="0.3">
      <c r="A58" s="398" t="s">
        <v>821</v>
      </c>
      <c r="B58" s="17" t="s">
        <v>480</v>
      </c>
      <c r="C58" s="406" t="s">
        <v>575</v>
      </c>
      <c r="D58" s="481">
        <v>2.8530000000000002</v>
      </c>
      <c r="E58" s="478">
        <v>0.312</v>
      </c>
      <c r="F58" s="479">
        <v>3.4000000000000002E-2</v>
      </c>
      <c r="G58" s="476">
        <v>0</v>
      </c>
      <c r="H58" s="476">
        <v>0</v>
      </c>
      <c r="I58" s="516">
        <v>0</v>
      </c>
      <c r="J58" s="482">
        <v>0</v>
      </c>
      <c r="K58" s="1"/>
    </row>
    <row r="59" spans="1:11" ht="35.049999999999997" customHeight="1" x14ac:dyDescent="0.3">
      <c r="A59" s="398" t="s">
        <v>822</v>
      </c>
      <c r="B59" s="17" t="s">
        <v>480</v>
      </c>
      <c r="C59" s="406" t="s">
        <v>930</v>
      </c>
      <c r="D59" s="481">
        <v>2.5739999999999998</v>
      </c>
      <c r="E59" s="478">
        <v>0.28199999999999997</v>
      </c>
      <c r="F59" s="479">
        <v>3.1E-2</v>
      </c>
      <c r="G59" s="480">
        <v>3.24</v>
      </c>
      <c r="H59" s="476">
        <v>0</v>
      </c>
      <c r="I59" s="516">
        <v>0</v>
      </c>
      <c r="J59" s="482">
        <v>0</v>
      </c>
      <c r="K59" s="1"/>
    </row>
    <row r="60" spans="1:11" ht="35.049999999999997" customHeight="1" x14ac:dyDescent="0.3">
      <c r="A60" s="398" t="s">
        <v>823</v>
      </c>
      <c r="B60" s="17" t="s">
        <v>480</v>
      </c>
      <c r="C60" s="406" t="s">
        <v>930</v>
      </c>
      <c r="D60" s="481">
        <v>2.5739999999999998</v>
      </c>
      <c r="E60" s="478">
        <v>0.28199999999999997</v>
      </c>
      <c r="F60" s="479">
        <v>3.1E-2</v>
      </c>
      <c r="G60" s="480">
        <v>4.25</v>
      </c>
      <c r="H60" s="476">
        <v>0</v>
      </c>
      <c r="I60" s="516">
        <v>0</v>
      </c>
      <c r="J60" s="482">
        <v>0</v>
      </c>
      <c r="K60" s="1"/>
    </row>
    <row r="61" spans="1:11" ht="35.049999999999997" customHeight="1" x14ac:dyDescent="0.3">
      <c r="A61" s="398" t="s">
        <v>824</v>
      </c>
      <c r="B61" s="17" t="s">
        <v>480</v>
      </c>
      <c r="C61" s="406" t="s">
        <v>930</v>
      </c>
      <c r="D61" s="481">
        <v>2.5739999999999998</v>
      </c>
      <c r="E61" s="478">
        <v>0.28199999999999997</v>
      </c>
      <c r="F61" s="479">
        <v>3.1E-2</v>
      </c>
      <c r="G61" s="480">
        <v>8.25</v>
      </c>
      <c r="H61" s="476">
        <v>0</v>
      </c>
      <c r="I61" s="516">
        <v>0</v>
      </c>
      <c r="J61" s="482">
        <v>0</v>
      </c>
      <c r="K61" s="1"/>
    </row>
    <row r="62" spans="1:11" ht="35.049999999999997" customHeight="1" x14ac:dyDescent="0.3">
      <c r="A62" s="398" t="s">
        <v>825</v>
      </c>
      <c r="B62" s="17" t="s">
        <v>480</v>
      </c>
      <c r="C62" s="406" t="s">
        <v>930</v>
      </c>
      <c r="D62" s="481">
        <v>2.5739999999999998</v>
      </c>
      <c r="E62" s="478">
        <v>0.28199999999999997</v>
      </c>
      <c r="F62" s="479">
        <v>3.1E-2</v>
      </c>
      <c r="G62" s="480">
        <v>15.44</v>
      </c>
      <c r="H62" s="476">
        <v>0</v>
      </c>
      <c r="I62" s="516">
        <v>0</v>
      </c>
      <c r="J62" s="482">
        <v>0</v>
      </c>
      <c r="K62" s="1"/>
    </row>
    <row r="63" spans="1:11" ht="35.049999999999997" customHeight="1" x14ac:dyDescent="0.3">
      <c r="A63" s="398" t="s">
        <v>826</v>
      </c>
      <c r="B63" s="17" t="s">
        <v>480</v>
      </c>
      <c r="C63" s="406" t="s">
        <v>930</v>
      </c>
      <c r="D63" s="481">
        <v>2.5739999999999998</v>
      </c>
      <c r="E63" s="478">
        <v>0.28199999999999997</v>
      </c>
      <c r="F63" s="479">
        <v>3.1E-2</v>
      </c>
      <c r="G63" s="480">
        <v>42.25</v>
      </c>
      <c r="H63" s="476">
        <v>0</v>
      </c>
      <c r="I63" s="516">
        <v>0</v>
      </c>
      <c r="J63" s="482">
        <v>0</v>
      </c>
      <c r="K63" s="1"/>
    </row>
    <row r="64" spans="1:11" ht="35.049999999999997" customHeight="1" x14ac:dyDescent="0.3">
      <c r="A64" s="398" t="s">
        <v>586</v>
      </c>
      <c r="B64" s="17" t="s">
        <v>480</v>
      </c>
      <c r="C64" s="406" t="s">
        <v>577</v>
      </c>
      <c r="D64" s="481">
        <v>2.5739999999999998</v>
      </c>
      <c r="E64" s="478">
        <v>0.28199999999999997</v>
      </c>
      <c r="F64" s="479">
        <v>3.1E-2</v>
      </c>
      <c r="G64" s="476">
        <v>0</v>
      </c>
      <c r="H64" s="476">
        <v>0</v>
      </c>
      <c r="I64" s="516">
        <v>0</v>
      </c>
      <c r="J64" s="482">
        <v>0</v>
      </c>
      <c r="K64" s="1"/>
    </row>
    <row r="65" spans="1:11" ht="35.049999999999997" customHeight="1" x14ac:dyDescent="0.3">
      <c r="A65" s="398" t="s">
        <v>827</v>
      </c>
      <c r="B65" s="17" t="s">
        <v>480</v>
      </c>
      <c r="C65" s="406">
        <v>0</v>
      </c>
      <c r="D65" s="481">
        <v>1.9690000000000001</v>
      </c>
      <c r="E65" s="478">
        <v>0.21199999999999999</v>
      </c>
      <c r="F65" s="479">
        <v>2.5000000000000001E-2</v>
      </c>
      <c r="G65" s="480">
        <v>4.7699999999999996</v>
      </c>
      <c r="H65" s="480">
        <v>1.1599999999999999</v>
      </c>
      <c r="I65" s="485">
        <v>2.16</v>
      </c>
      <c r="J65" s="475">
        <v>4.2999999999999997E-2</v>
      </c>
      <c r="K65" s="1"/>
    </row>
    <row r="66" spans="1:11" ht="35.049999999999997" customHeight="1" x14ac:dyDescent="0.3">
      <c r="A66" s="398" t="s">
        <v>828</v>
      </c>
      <c r="B66" s="17" t="s">
        <v>480</v>
      </c>
      <c r="C66" s="406">
        <v>0</v>
      </c>
      <c r="D66" s="481">
        <v>1.9690000000000001</v>
      </c>
      <c r="E66" s="478">
        <v>0.21199999999999999</v>
      </c>
      <c r="F66" s="479">
        <v>2.5000000000000001E-2</v>
      </c>
      <c r="G66" s="480">
        <v>67.349999999999994</v>
      </c>
      <c r="H66" s="480">
        <v>1.1599999999999999</v>
      </c>
      <c r="I66" s="485">
        <v>2.16</v>
      </c>
      <c r="J66" s="475">
        <v>4.2999999999999997E-2</v>
      </c>
      <c r="K66" s="1"/>
    </row>
    <row r="67" spans="1:11" ht="35.049999999999997" customHeight="1" x14ac:dyDescent="0.3">
      <c r="A67" s="398" t="s">
        <v>829</v>
      </c>
      <c r="B67" s="17" t="s">
        <v>480</v>
      </c>
      <c r="C67" s="406">
        <v>0</v>
      </c>
      <c r="D67" s="481">
        <v>1.9690000000000001</v>
      </c>
      <c r="E67" s="478">
        <v>0.21199999999999999</v>
      </c>
      <c r="F67" s="479">
        <v>2.5000000000000001E-2</v>
      </c>
      <c r="G67" s="480">
        <v>130.1</v>
      </c>
      <c r="H67" s="480">
        <v>1.1599999999999999</v>
      </c>
      <c r="I67" s="485">
        <v>2.16</v>
      </c>
      <c r="J67" s="475">
        <v>4.2999999999999997E-2</v>
      </c>
      <c r="K67" s="1"/>
    </row>
    <row r="68" spans="1:11" ht="35.049999999999997" customHeight="1" x14ac:dyDescent="0.3">
      <c r="A68" s="398" t="s">
        <v>830</v>
      </c>
      <c r="B68" s="17" t="s">
        <v>480</v>
      </c>
      <c r="C68" s="406">
        <v>0</v>
      </c>
      <c r="D68" s="481">
        <v>1.9690000000000001</v>
      </c>
      <c r="E68" s="478">
        <v>0.21199999999999999</v>
      </c>
      <c r="F68" s="479">
        <v>2.5000000000000001E-2</v>
      </c>
      <c r="G68" s="480">
        <v>209.82</v>
      </c>
      <c r="H68" s="480">
        <v>1.1599999999999999</v>
      </c>
      <c r="I68" s="485">
        <v>2.16</v>
      </c>
      <c r="J68" s="475">
        <v>4.2999999999999997E-2</v>
      </c>
      <c r="K68" s="1"/>
    </row>
    <row r="69" spans="1:11" ht="35.049999999999997" customHeight="1" x14ac:dyDescent="0.3">
      <c r="A69" s="398" t="s">
        <v>831</v>
      </c>
      <c r="B69" s="17" t="s">
        <v>480</v>
      </c>
      <c r="C69" s="406">
        <v>0</v>
      </c>
      <c r="D69" s="481">
        <v>1.9690000000000001</v>
      </c>
      <c r="E69" s="478">
        <v>0.21199999999999999</v>
      </c>
      <c r="F69" s="479">
        <v>2.5000000000000001E-2</v>
      </c>
      <c r="G69" s="480">
        <v>492.62</v>
      </c>
      <c r="H69" s="480">
        <v>1.1599999999999999</v>
      </c>
      <c r="I69" s="485">
        <v>2.16</v>
      </c>
      <c r="J69" s="475">
        <v>4.2999999999999997E-2</v>
      </c>
      <c r="K69" s="1"/>
    </row>
    <row r="70" spans="1:11" ht="35.049999999999997" customHeight="1" x14ac:dyDescent="0.3">
      <c r="A70" s="398" t="s">
        <v>832</v>
      </c>
      <c r="B70" s="17" t="s">
        <v>480</v>
      </c>
      <c r="C70" s="406">
        <v>0</v>
      </c>
      <c r="D70" s="481">
        <v>2.0880000000000001</v>
      </c>
      <c r="E70" s="478">
        <v>0.216</v>
      </c>
      <c r="F70" s="479">
        <v>0.03</v>
      </c>
      <c r="G70" s="480">
        <v>5.59</v>
      </c>
      <c r="H70" s="480">
        <v>1.81</v>
      </c>
      <c r="I70" s="485">
        <v>3.04</v>
      </c>
      <c r="J70" s="475">
        <v>4.7E-2</v>
      </c>
      <c r="K70" s="1"/>
    </row>
    <row r="71" spans="1:11" ht="35.049999999999997" customHeight="1" x14ac:dyDescent="0.3">
      <c r="A71" s="398" t="s">
        <v>833</v>
      </c>
      <c r="B71" s="17" t="s">
        <v>480</v>
      </c>
      <c r="C71" s="406">
        <v>0</v>
      </c>
      <c r="D71" s="481">
        <v>2.0880000000000001</v>
      </c>
      <c r="E71" s="478">
        <v>0.216</v>
      </c>
      <c r="F71" s="479">
        <v>0.03</v>
      </c>
      <c r="G71" s="480">
        <v>99.96</v>
      </c>
      <c r="H71" s="480">
        <v>1.81</v>
      </c>
      <c r="I71" s="485">
        <v>3.04</v>
      </c>
      <c r="J71" s="475">
        <v>4.7E-2</v>
      </c>
      <c r="K71" s="1"/>
    </row>
    <row r="72" spans="1:11" ht="35.049999999999997" customHeight="1" x14ac:dyDescent="0.3">
      <c r="A72" s="398" t="s">
        <v>834</v>
      </c>
      <c r="B72" s="17" t="s">
        <v>480</v>
      </c>
      <c r="C72" s="406">
        <v>0</v>
      </c>
      <c r="D72" s="481">
        <v>2.0880000000000001</v>
      </c>
      <c r="E72" s="478">
        <v>0.216</v>
      </c>
      <c r="F72" s="479">
        <v>0.03</v>
      </c>
      <c r="G72" s="480">
        <v>194.59</v>
      </c>
      <c r="H72" s="480">
        <v>1.81</v>
      </c>
      <c r="I72" s="485">
        <v>3.04</v>
      </c>
      <c r="J72" s="475">
        <v>4.7E-2</v>
      </c>
      <c r="K72" s="1"/>
    </row>
    <row r="73" spans="1:11" ht="35.049999999999997" customHeight="1" x14ac:dyDescent="0.3">
      <c r="A73" s="398" t="s">
        <v>835</v>
      </c>
      <c r="B73" s="17" t="s">
        <v>480</v>
      </c>
      <c r="C73" s="406">
        <v>0</v>
      </c>
      <c r="D73" s="481">
        <v>2.0880000000000001</v>
      </c>
      <c r="E73" s="478">
        <v>0.216</v>
      </c>
      <c r="F73" s="479">
        <v>0.03</v>
      </c>
      <c r="G73" s="480">
        <v>314.82</v>
      </c>
      <c r="H73" s="480">
        <v>1.81</v>
      </c>
      <c r="I73" s="485">
        <v>3.04</v>
      </c>
      <c r="J73" s="475">
        <v>4.7E-2</v>
      </c>
      <c r="K73" s="1"/>
    </row>
    <row r="74" spans="1:11" ht="35.049999999999997" customHeight="1" x14ac:dyDescent="0.3">
      <c r="A74" s="398" t="s">
        <v>836</v>
      </c>
      <c r="B74" s="17" t="s">
        <v>480</v>
      </c>
      <c r="C74" s="406">
        <v>0</v>
      </c>
      <c r="D74" s="481">
        <v>2.0880000000000001</v>
      </c>
      <c r="E74" s="478">
        <v>0.216</v>
      </c>
      <c r="F74" s="479">
        <v>0.03</v>
      </c>
      <c r="G74" s="480">
        <v>741.29</v>
      </c>
      <c r="H74" s="480">
        <v>1.81</v>
      </c>
      <c r="I74" s="485">
        <v>3.04</v>
      </c>
      <c r="J74" s="475">
        <v>4.7E-2</v>
      </c>
      <c r="K74" s="1"/>
    </row>
    <row r="75" spans="1:11" ht="35.049999999999997" customHeight="1" x14ac:dyDescent="0.3">
      <c r="A75" s="398" t="s">
        <v>837</v>
      </c>
      <c r="B75" s="17" t="s">
        <v>480</v>
      </c>
      <c r="C75" s="406">
        <v>0</v>
      </c>
      <c r="D75" s="481">
        <v>1.8220000000000001</v>
      </c>
      <c r="E75" s="478">
        <v>0.183</v>
      </c>
      <c r="F75" s="479">
        <v>2.8000000000000001E-2</v>
      </c>
      <c r="G75" s="480">
        <v>59.46</v>
      </c>
      <c r="H75" s="480">
        <v>2.21</v>
      </c>
      <c r="I75" s="485">
        <v>3.85</v>
      </c>
      <c r="J75" s="475">
        <v>3.7999999999999999E-2</v>
      </c>
      <c r="K75" s="1"/>
    </row>
    <row r="76" spans="1:11" ht="35.049999999999997" customHeight="1" x14ac:dyDescent="0.3">
      <c r="A76" s="398" t="s">
        <v>838</v>
      </c>
      <c r="B76" s="17" t="s">
        <v>480</v>
      </c>
      <c r="C76" s="406">
        <v>0</v>
      </c>
      <c r="D76" s="481">
        <v>1.8220000000000001</v>
      </c>
      <c r="E76" s="478">
        <v>0.183</v>
      </c>
      <c r="F76" s="479">
        <v>2.8000000000000001E-2</v>
      </c>
      <c r="G76" s="480">
        <v>623.41</v>
      </c>
      <c r="H76" s="480">
        <v>2.21</v>
      </c>
      <c r="I76" s="485">
        <v>3.85</v>
      </c>
      <c r="J76" s="475">
        <v>3.7999999999999999E-2</v>
      </c>
      <c r="K76" s="1"/>
    </row>
    <row r="77" spans="1:11" ht="35.049999999999997" customHeight="1" x14ac:dyDescent="0.3">
      <c r="A77" s="398" t="s">
        <v>839</v>
      </c>
      <c r="B77" s="17" t="s">
        <v>480</v>
      </c>
      <c r="C77" s="406">
        <v>0</v>
      </c>
      <c r="D77" s="481">
        <v>1.8220000000000001</v>
      </c>
      <c r="E77" s="478">
        <v>0.183</v>
      </c>
      <c r="F77" s="479">
        <v>2.8000000000000001E-2</v>
      </c>
      <c r="G77" s="480">
        <v>2131.69</v>
      </c>
      <c r="H77" s="480">
        <v>2.21</v>
      </c>
      <c r="I77" s="485">
        <v>3.85</v>
      </c>
      <c r="J77" s="475">
        <v>3.7999999999999999E-2</v>
      </c>
      <c r="K77" s="1"/>
    </row>
    <row r="78" spans="1:11" ht="35.049999999999997" customHeight="1" x14ac:dyDescent="0.3">
      <c r="A78" s="398" t="s">
        <v>840</v>
      </c>
      <c r="B78" s="17" t="s">
        <v>480</v>
      </c>
      <c r="C78" s="406">
        <v>0</v>
      </c>
      <c r="D78" s="481">
        <v>1.8220000000000001</v>
      </c>
      <c r="E78" s="478">
        <v>0.183</v>
      </c>
      <c r="F78" s="479">
        <v>2.8000000000000001E-2</v>
      </c>
      <c r="G78" s="480">
        <v>4314.9799999999996</v>
      </c>
      <c r="H78" s="480">
        <v>2.21</v>
      </c>
      <c r="I78" s="485">
        <v>3.85</v>
      </c>
      <c r="J78" s="475">
        <v>3.7999999999999999E-2</v>
      </c>
      <c r="K78" s="1"/>
    </row>
    <row r="79" spans="1:11" ht="35.049999999999997" customHeight="1" x14ac:dyDescent="0.3">
      <c r="A79" s="398" t="s">
        <v>841</v>
      </c>
      <c r="B79" s="17" t="s">
        <v>480</v>
      </c>
      <c r="C79" s="406">
        <v>0</v>
      </c>
      <c r="D79" s="481">
        <v>1.8220000000000001</v>
      </c>
      <c r="E79" s="478">
        <v>0.183</v>
      </c>
      <c r="F79" s="479">
        <v>2.8000000000000001E-2</v>
      </c>
      <c r="G79" s="480">
        <v>9562.7900000000009</v>
      </c>
      <c r="H79" s="480">
        <v>2.21</v>
      </c>
      <c r="I79" s="485">
        <v>3.85</v>
      </c>
      <c r="J79" s="475">
        <v>3.7999999999999999E-2</v>
      </c>
      <c r="K79" s="1"/>
    </row>
    <row r="80" spans="1:11" ht="35.049999999999997" customHeight="1" x14ac:dyDescent="0.3">
      <c r="A80" s="398" t="s">
        <v>587</v>
      </c>
      <c r="B80" s="17" t="s">
        <v>480</v>
      </c>
      <c r="C80" s="406" t="s">
        <v>616</v>
      </c>
      <c r="D80" s="477">
        <v>6.8470000000000004</v>
      </c>
      <c r="E80" s="483">
        <v>0.81699999999999995</v>
      </c>
      <c r="F80" s="479">
        <v>0.58799999999999997</v>
      </c>
      <c r="G80" s="476">
        <v>0</v>
      </c>
      <c r="H80" s="476">
        <v>0</v>
      </c>
      <c r="I80" s="516">
        <v>0</v>
      </c>
      <c r="J80" s="482">
        <v>0</v>
      </c>
      <c r="K80" s="1"/>
    </row>
    <row r="81" spans="1:11" ht="35.049999999999997" customHeight="1" x14ac:dyDescent="0.3">
      <c r="A81" s="398" t="s">
        <v>691</v>
      </c>
      <c r="B81" s="17" t="s">
        <v>480</v>
      </c>
      <c r="C81" s="406">
        <v>0</v>
      </c>
      <c r="D81" s="481">
        <v>-2.8719999999999999</v>
      </c>
      <c r="E81" s="478">
        <v>-0.314</v>
      </c>
      <c r="F81" s="479">
        <v>-3.4000000000000002E-2</v>
      </c>
      <c r="G81" s="508">
        <v>0</v>
      </c>
      <c r="H81" s="476">
        <v>0</v>
      </c>
      <c r="I81" s="516">
        <v>0</v>
      </c>
      <c r="J81" s="482">
        <v>0</v>
      </c>
      <c r="K81" s="1"/>
    </row>
    <row r="82" spans="1:11" ht="35.049999999999997" customHeight="1" x14ac:dyDescent="0.3">
      <c r="A82" s="398" t="s">
        <v>692</v>
      </c>
      <c r="B82" s="17" t="s">
        <v>480</v>
      </c>
      <c r="C82" s="406">
        <v>0</v>
      </c>
      <c r="D82" s="481">
        <v>-3.0979999999999999</v>
      </c>
      <c r="E82" s="478">
        <v>-0.33600000000000002</v>
      </c>
      <c r="F82" s="479">
        <v>-3.7999999999999999E-2</v>
      </c>
      <c r="G82" s="508">
        <v>0</v>
      </c>
      <c r="H82" s="476">
        <v>0</v>
      </c>
      <c r="I82" s="516">
        <v>0</v>
      </c>
      <c r="J82" s="482">
        <v>0</v>
      </c>
      <c r="K82" s="1"/>
    </row>
    <row r="83" spans="1:11" ht="35.049999999999997" customHeight="1" x14ac:dyDescent="0.3">
      <c r="A83" s="398" t="s">
        <v>693</v>
      </c>
      <c r="B83" s="17" t="s">
        <v>480</v>
      </c>
      <c r="C83" s="406">
        <v>0</v>
      </c>
      <c r="D83" s="481">
        <v>-2.8719999999999999</v>
      </c>
      <c r="E83" s="478">
        <v>-0.314</v>
      </c>
      <c r="F83" s="479">
        <v>-3.4000000000000002E-2</v>
      </c>
      <c r="G83" s="508">
        <v>0</v>
      </c>
      <c r="H83" s="476">
        <v>0</v>
      </c>
      <c r="I83" s="516">
        <v>0</v>
      </c>
      <c r="J83" s="475">
        <v>7.2999999999999995E-2</v>
      </c>
      <c r="K83" s="1"/>
    </row>
    <row r="84" spans="1:11" ht="35.049999999999997" customHeight="1" x14ac:dyDescent="0.3">
      <c r="A84" s="398" t="s">
        <v>694</v>
      </c>
      <c r="B84" s="17" t="s">
        <v>480</v>
      </c>
      <c r="C84" s="406">
        <v>0</v>
      </c>
      <c r="D84" s="481">
        <v>-3.0979999999999999</v>
      </c>
      <c r="E84" s="478">
        <v>-0.33600000000000002</v>
      </c>
      <c r="F84" s="479">
        <v>-3.7999999999999999E-2</v>
      </c>
      <c r="G84" s="508">
        <v>0</v>
      </c>
      <c r="H84" s="476">
        <v>0</v>
      </c>
      <c r="I84" s="516">
        <v>0</v>
      </c>
      <c r="J84" s="475">
        <v>7.0999999999999994E-2</v>
      </c>
      <c r="K84" s="1"/>
    </row>
    <row r="85" spans="1:11" ht="35.049999999999997" customHeight="1" x14ac:dyDescent="0.3">
      <c r="A85" s="398" t="s">
        <v>695</v>
      </c>
      <c r="B85" s="17" t="s">
        <v>480</v>
      </c>
      <c r="C85" s="406">
        <v>0</v>
      </c>
      <c r="D85" s="481">
        <v>-4.3579999999999997</v>
      </c>
      <c r="E85" s="478">
        <v>-0.44800000000000001</v>
      </c>
      <c r="F85" s="479">
        <v>-6.4000000000000001E-2</v>
      </c>
      <c r="G85" s="480">
        <v>81.12</v>
      </c>
      <c r="H85" s="476">
        <v>0</v>
      </c>
      <c r="I85" s="516">
        <v>0</v>
      </c>
      <c r="J85" s="475">
        <v>0.129</v>
      </c>
      <c r="K85" s="1"/>
    </row>
    <row r="86" spans="1:11" ht="35.049999999999997" customHeight="1" x14ac:dyDescent="0.3">
      <c r="A86" s="398" t="s">
        <v>842</v>
      </c>
      <c r="B86" s="17" t="s">
        <v>480</v>
      </c>
      <c r="C86" s="406" t="s">
        <v>574</v>
      </c>
      <c r="D86" s="481">
        <v>2.2749999999999999</v>
      </c>
      <c r="E86" s="478">
        <v>0.249</v>
      </c>
      <c r="F86" s="479">
        <v>2.7E-2</v>
      </c>
      <c r="G86" s="480">
        <v>3.19</v>
      </c>
      <c r="H86" s="476">
        <v>0</v>
      </c>
      <c r="I86" s="516">
        <v>0</v>
      </c>
      <c r="J86" s="482">
        <v>0</v>
      </c>
      <c r="K86" s="1"/>
    </row>
    <row r="87" spans="1:11" ht="35.049999999999997" customHeight="1" x14ac:dyDescent="0.3">
      <c r="A87" s="398" t="s">
        <v>843</v>
      </c>
      <c r="B87" s="17" t="s">
        <v>480</v>
      </c>
      <c r="C87" s="406" t="s">
        <v>575</v>
      </c>
      <c r="D87" s="481">
        <v>2.2749999999999999</v>
      </c>
      <c r="E87" s="478">
        <v>0.249</v>
      </c>
      <c r="F87" s="479">
        <v>2.7E-2</v>
      </c>
      <c r="G87" s="476">
        <v>0</v>
      </c>
      <c r="H87" s="476">
        <v>0</v>
      </c>
      <c r="I87" s="516">
        <v>0</v>
      </c>
      <c r="J87" s="482">
        <v>0</v>
      </c>
      <c r="K87" s="1"/>
    </row>
    <row r="88" spans="1:11" ht="35.049999999999997" customHeight="1" x14ac:dyDescent="0.3">
      <c r="A88" s="398" t="s">
        <v>844</v>
      </c>
      <c r="B88" s="17" t="s">
        <v>480</v>
      </c>
      <c r="C88" s="406" t="s">
        <v>930</v>
      </c>
      <c r="D88" s="481">
        <v>2.0529999999999999</v>
      </c>
      <c r="E88" s="478">
        <v>0.22500000000000001</v>
      </c>
      <c r="F88" s="479">
        <v>2.5000000000000001E-2</v>
      </c>
      <c r="G88" s="480">
        <v>2.62</v>
      </c>
      <c r="H88" s="476">
        <v>0</v>
      </c>
      <c r="I88" s="516">
        <v>0</v>
      </c>
      <c r="J88" s="482">
        <v>0</v>
      </c>
      <c r="K88" s="1"/>
    </row>
    <row r="89" spans="1:11" ht="35.049999999999997" customHeight="1" x14ac:dyDescent="0.3">
      <c r="A89" s="398" t="s">
        <v>845</v>
      </c>
      <c r="B89" s="17" t="s">
        <v>480</v>
      </c>
      <c r="C89" s="406" t="s">
        <v>930</v>
      </c>
      <c r="D89" s="481">
        <v>2.0529999999999999</v>
      </c>
      <c r="E89" s="478">
        <v>0.22500000000000001</v>
      </c>
      <c r="F89" s="479">
        <v>2.5000000000000001E-2</v>
      </c>
      <c r="G89" s="480">
        <v>3.43</v>
      </c>
      <c r="H89" s="476">
        <v>0</v>
      </c>
      <c r="I89" s="516">
        <v>0</v>
      </c>
      <c r="J89" s="482">
        <v>0</v>
      </c>
      <c r="K89" s="1"/>
    </row>
    <row r="90" spans="1:11" ht="35.049999999999997" customHeight="1" x14ac:dyDescent="0.3">
      <c r="A90" s="398" t="s">
        <v>846</v>
      </c>
      <c r="B90" s="17" t="s">
        <v>480</v>
      </c>
      <c r="C90" s="406" t="s">
        <v>930</v>
      </c>
      <c r="D90" s="481">
        <v>2.0529999999999999</v>
      </c>
      <c r="E90" s="478">
        <v>0.22500000000000001</v>
      </c>
      <c r="F90" s="479">
        <v>2.5000000000000001E-2</v>
      </c>
      <c r="G90" s="480">
        <v>6.61</v>
      </c>
      <c r="H90" s="476">
        <v>0</v>
      </c>
      <c r="I90" s="516">
        <v>0</v>
      </c>
      <c r="J90" s="482">
        <v>0</v>
      </c>
      <c r="K90" s="1"/>
    </row>
    <row r="91" spans="1:11" ht="35.049999999999997" customHeight="1" x14ac:dyDescent="0.3">
      <c r="A91" s="398" t="s">
        <v>847</v>
      </c>
      <c r="B91" s="17" t="s">
        <v>480</v>
      </c>
      <c r="C91" s="406" t="s">
        <v>930</v>
      </c>
      <c r="D91" s="481">
        <v>2.0529999999999999</v>
      </c>
      <c r="E91" s="478">
        <v>0.22500000000000001</v>
      </c>
      <c r="F91" s="479">
        <v>2.5000000000000001E-2</v>
      </c>
      <c r="G91" s="480">
        <v>12.35</v>
      </c>
      <c r="H91" s="476">
        <v>0</v>
      </c>
      <c r="I91" s="516">
        <v>0</v>
      </c>
      <c r="J91" s="482">
        <v>0</v>
      </c>
      <c r="K91" s="1"/>
    </row>
    <row r="92" spans="1:11" ht="35.049999999999997" customHeight="1" x14ac:dyDescent="0.3">
      <c r="A92" s="398" t="s">
        <v>848</v>
      </c>
      <c r="B92" s="17" t="s">
        <v>480</v>
      </c>
      <c r="C92" s="406" t="s">
        <v>930</v>
      </c>
      <c r="D92" s="481">
        <v>2.0529999999999999</v>
      </c>
      <c r="E92" s="478">
        <v>0.22500000000000001</v>
      </c>
      <c r="F92" s="479">
        <v>2.5000000000000001E-2</v>
      </c>
      <c r="G92" s="480">
        <v>33.729999999999997</v>
      </c>
      <c r="H92" s="476">
        <v>0</v>
      </c>
      <c r="I92" s="516">
        <v>0</v>
      </c>
      <c r="J92" s="482">
        <v>0</v>
      </c>
      <c r="K92" s="1"/>
    </row>
    <row r="93" spans="1:11" ht="35.049999999999997" customHeight="1" x14ac:dyDescent="0.3">
      <c r="A93" s="398" t="s">
        <v>588</v>
      </c>
      <c r="B93" s="17" t="s">
        <v>480</v>
      </c>
      <c r="C93" s="406" t="s">
        <v>577</v>
      </c>
      <c r="D93" s="481">
        <v>2.0529999999999999</v>
      </c>
      <c r="E93" s="478">
        <v>0.22500000000000001</v>
      </c>
      <c r="F93" s="479">
        <v>2.5000000000000001E-2</v>
      </c>
      <c r="G93" s="476">
        <v>0</v>
      </c>
      <c r="H93" s="476">
        <v>0</v>
      </c>
      <c r="I93" s="516">
        <v>0</v>
      </c>
      <c r="J93" s="482">
        <v>0</v>
      </c>
      <c r="K93" s="1"/>
    </row>
    <row r="94" spans="1:11" ht="35.049999999999997" customHeight="1" x14ac:dyDescent="0.3">
      <c r="A94" s="398" t="s">
        <v>849</v>
      </c>
      <c r="B94" s="17" t="s">
        <v>480</v>
      </c>
      <c r="C94" s="406">
        <v>0</v>
      </c>
      <c r="D94" s="481">
        <v>1.57</v>
      </c>
      <c r="E94" s="478">
        <v>0.16900000000000001</v>
      </c>
      <c r="F94" s="479">
        <v>0.02</v>
      </c>
      <c r="G94" s="480">
        <v>3.84</v>
      </c>
      <c r="H94" s="480">
        <v>0.92</v>
      </c>
      <c r="I94" s="485">
        <v>1.72</v>
      </c>
      <c r="J94" s="475">
        <v>3.5000000000000003E-2</v>
      </c>
      <c r="K94" s="1"/>
    </row>
    <row r="95" spans="1:11" ht="35.049999999999997" customHeight="1" x14ac:dyDescent="0.3">
      <c r="A95" s="398" t="s">
        <v>850</v>
      </c>
      <c r="B95" s="17" t="s">
        <v>480</v>
      </c>
      <c r="C95" s="406">
        <v>0</v>
      </c>
      <c r="D95" s="481">
        <v>1.57</v>
      </c>
      <c r="E95" s="478">
        <v>0.16900000000000001</v>
      </c>
      <c r="F95" s="479">
        <v>0.02</v>
      </c>
      <c r="G95" s="480">
        <v>53.75</v>
      </c>
      <c r="H95" s="480">
        <v>0.92</v>
      </c>
      <c r="I95" s="485">
        <v>1.72</v>
      </c>
      <c r="J95" s="475">
        <v>3.5000000000000003E-2</v>
      </c>
      <c r="K95" s="1"/>
    </row>
    <row r="96" spans="1:11" ht="35.049999999999997" customHeight="1" x14ac:dyDescent="0.3">
      <c r="A96" s="398" t="s">
        <v>851</v>
      </c>
      <c r="B96" s="17" t="s">
        <v>480</v>
      </c>
      <c r="C96" s="406">
        <v>0</v>
      </c>
      <c r="D96" s="481">
        <v>1.57</v>
      </c>
      <c r="E96" s="478">
        <v>0.16900000000000001</v>
      </c>
      <c r="F96" s="479">
        <v>0.02</v>
      </c>
      <c r="G96" s="480">
        <v>103.79</v>
      </c>
      <c r="H96" s="480">
        <v>0.92</v>
      </c>
      <c r="I96" s="485">
        <v>1.72</v>
      </c>
      <c r="J96" s="475">
        <v>3.5000000000000003E-2</v>
      </c>
      <c r="K96" s="1"/>
    </row>
    <row r="97" spans="1:11" ht="35.049999999999997" customHeight="1" x14ac:dyDescent="0.3">
      <c r="A97" s="398" t="s">
        <v>852</v>
      </c>
      <c r="B97" s="17" t="s">
        <v>480</v>
      </c>
      <c r="C97" s="406">
        <v>0</v>
      </c>
      <c r="D97" s="481">
        <v>1.57</v>
      </c>
      <c r="E97" s="478">
        <v>0.16900000000000001</v>
      </c>
      <c r="F97" s="479">
        <v>0.02</v>
      </c>
      <c r="G97" s="480">
        <v>167.36</v>
      </c>
      <c r="H97" s="480">
        <v>0.92</v>
      </c>
      <c r="I97" s="485">
        <v>1.72</v>
      </c>
      <c r="J97" s="475">
        <v>3.5000000000000003E-2</v>
      </c>
      <c r="K97" s="1"/>
    </row>
    <row r="98" spans="1:11" ht="35.049999999999997" customHeight="1" x14ac:dyDescent="0.3">
      <c r="A98" s="398" t="s">
        <v>853</v>
      </c>
      <c r="B98" s="17" t="s">
        <v>480</v>
      </c>
      <c r="C98" s="406">
        <v>0</v>
      </c>
      <c r="D98" s="481">
        <v>1.57</v>
      </c>
      <c r="E98" s="478">
        <v>0.16900000000000001</v>
      </c>
      <c r="F98" s="479">
        <v>0.02</v>
      </c>
      <c r="G98" s="480">
        <v>392.89</v>
      </c>
      <c r="H98" s="480">
        <v>0.92</v>
      </c>
      <c r="I98" s="485">
        <v>1.72</v>
      </c>
      <c r="J98" s="475">
        <v>3.5000000000000003E-2</v>
      </c>
      <c r="K98" s="1"/>
    </row>
    <row r="99" spans="1:11" ht="35.049999999999997" customHeight="1" x14ac:dyDescent="0.3">
      <c r="A99" s="398" t="s">
        <v>854</v>
      </c>
      <c r="B99" s="17" t="s">
        <v>480</v>
      </c>
      <c r="C99" s="406">
        <v>0</v>
      </c>
      <c r="D99" s="481">
        <v>1.665</v>
      </c>
      <c r="E99" s="478">
        <v>0.17199999999999999</v>
      </c>
      <c r="F99" s="479">
        <v>2.4E-2</v>
      </c>
      <c r="G99" s="480">
        <v>4.49</v>
      </c>
      <c r="H99" s="480">
        <v>1.45</v>
      </c>
      <c r="I99" s="485">
        <v>2.42</v>
      </c>
      <c r="J99" s="475">
        <v>3.6999999999999998E-2</v>
      </c>
      <c r="K99" s="1"/>
    </row>
    <row r="100" spans="1:11" ht="35.049999999999997" customHeight="1" x14ac:dyDescent="0.3">
      <c r="A100" s="398" t="s">
        <v>855</v>
      </c>
      <c r="B100" s="17" t="s">
        <v>480</v>
      </c>
      <c r="C100" s="406">
        <v>0</v>
      </c>
      <c r="D100" s="481">
        <v>1.665</v>
      </c>
      <c r="E100" s="478">
        <v>0.17199999999999999</v>
      </c>
      <c r="F100" s="479">
        <v>2.4E-2</v>
      </c>
      <c r="G100" s="480">
        <v>79.75</v>
      </c>
      <c r="H100" s="480">
        <v>1.45</v>
      </c>
      <c r="I100" s="485">
        <v>2.42</v>
      </c>
      <c r="J100" s="475">
        <v>3.6999999999999998E-2</v>
      </c>
      <c r="K100" s="1"/>
    </row>
    <row r="101" spans="1:11" ht="35.049999999999997" customHeight="1" x14ac:dyDescent="0.3">
      <c r="A101" s="398" t="s">
        <v>856</v>
      </c>
      <c r="B101" s="17" t="s">
        <v>480</v>
      </c>
      <c r="C101" s="406">
        <v>0</v>
      </c>
      <c r="D101" s="481">
        <v>1.665</v>
      </c>
      <c r="E101" s="478">
        <v>0.17199999999999999</v>
      </c>
      <c r="F101" s="479">
        <v>2.4E-2</v>
      </c>
      <c r="G101" s="480">
        <v>155.22</v>
      </c>
      <c r="H101" s="480">
        <v>1.45</v>
      </c>
      <c r="I101" s="485">
        <v>2.42</v>
      </c>
      <c r="J101" s="475">
        <v>3.6999999999999998E-2</v>
      </c>
      <c r="K101" s="1"/>
    </row>
    <row r="102" spans="1:11" ht="35.049999999999997" customHeight="1" x14ac:dyDescent="0.3">
      <c r="A102" s="398" t="s">
        <v>857</v>
      </c>
      <c r="B102" s="17" t="s">
        <v>480</v>
      </c>
      <c r="C102" s="406">
        <v>0</v>
      </c>
      <c r="D102" s="481">
        <v>1.665</v>
      </c>
      <c r="E102" s="478">
        <v>0.17199999999999999</v>
      </c>
      <c r="F102" s="479">
        <v>2.4E-2</v>
      </c>
      <c r="G102" s="480">
        <v>251.09</v>
      </c>
      <c r="H102" s="480">
        <v>1.45</v>
      </c>
      <c r="I102" s="485">
        <v>2.42</v>
      </c>
      <c r="J102" s="475">
        <v>3.6999999999999998E-2</v>
      </c>
      <c r="K102" s="1"/>
    </row>
    <row r="103" spans="1:11" ht="35.049999999999997" customHeight="1" x14ac:dyDescent="0.3">
      <c r="A103" s="398" t="s">
        <v>858</v>
      </c>
      <c r="B103" s="17" t="s">
        <v>480</v>
      </c>
      <c r="C103" s="406">
        <v>0</v>
      </c>
      <c r="D103" s="481">
        <v>1.665</v>
      </c>
      <c r="E103" s="478">
        <v>0.17199999999999999</v>
      </c>
      <c r="F103" s="479">
        <v>2.4E-2</v>
      </c>
      <c r="G103" s="480">
        <v>591.20000000000005</v>
      </c>
      <c r="H103" s="480">
        <v>1.45</v>
      </c>
      <c r="I103" s="485">
        <v>2.42</v>
      </c>
      <c r="J103" s="475">
        <v>3.6999999999999998E-2</v>
      </c>
      <c r="K103" s="1"/>
    </row>
    <row r="104" spans="1:11" ht="35.049999999999997" customHeight="1" x14ac:dyDescent="0.3">
      <c r="A104" s="398" t="s">
        <v>859</v>
      </c>
      <c r="B104" s="17" t="s">
        <v>480</v>
      </c>
      <c r="C104" s="406">
        <v>0</v>
      </c>
      <c r="D104" s="481">
        <v>1.4530000000000001</v>
      </c>
      <c r="E104" s="478">
        <v>0.14599999999999999</v>
      </c>
      <c r="F104" s="479">
        <v>2.1999999999999999E-2</v>
      </c>
      <c r="G104" s="480">
        <v>47.45</v>
      </c>
      <c r="H104" s="480">
        <v>1.77</v>
      </c>
      <c r="I104" s="485">
        <v>3.07</v>
      </c>
      <c r="J104" s="475">
        <v>0.03</v>
      </c>
      <c r="K104" s="1"/>
    </row>
    <row r="105" spans="1:11" ht="35.049999999999997" customHeight="1" x14ac:dyDescent="0.3">
      <c r="A105" s="398" t="s">
        <v>860</v>
      </c>
      <c r="B105" s="17" t="s">
        <v>480</v>
      </c>
      <c r="C105" s="406">
        <v>0</v>
      </c>
      <c r="D105" s="481">
        <v>1.4530000000000001</v>
      </c>
      <c r="E105" s="478">
        <v>0.14599999999999999</v>
      </c>
      <c r="F105" s="479">
        <v>2.1999999999999999E-2</v>
      </c>
      <c r="G105" s="480">
        <v>497.19</v>
      </c>
      <c r="H105" s="480">
        <v>1.77</v>
      </c>
      <c r="I105" s="485">
        <v>3.07</v>
      </c>
      <c r="J105" s="475">
        <v>0.03</v>
      </c>
      <c r="K105" s="1"/>
    </row>
    <row r="106" spans="1:11" ht="35.049999999999997" customHeight="1" x14ac:dyDescent="0.3">
      <c r="A106" s="398" t="s">
        <v>861</v>
      </c>
      <c r="B106" s="17" t="s">
        <v>480</v>
      </c>
      <c r="C106" s="406">
        <v>0</v>
      </c>
      <c r="D106" s="481">
        <v>1.4530000000000001</v>
      </c>
      <c r="E106" s="478">
        <v>0.14599999999999999</v>
      </c>
      <c r="F106" s="479">
        <v>2.1999999999999999E-2</v>
      </c>
      <c r="G106" s="480">
        <v>1700</v>
      </c>
      <c r="H106" s="480">
        <v>1.77</v>
      </c>
      <c r="I106" s="485">
        <v>3.07</v>
      </c>
      <c r="J106" s="475">
        <v>0.03</v>
      </c>
      <c r="K106" s="1"/>
    </row>
    <row r="107" spans="1:11" ht="35.049999999999997" customHeight="1" x14ac:dyDescent="0.3">
      <c r="A107" s="398" t="s">
        <v>862</v>
      </c>
      <c r="B107" s="17" t="s">
        <v>480</v>
      </c>
      <c r="C107" s="406">
        <v>0</v>
      </c>
      <c r="D107" s="481">
        <v>1.4530000000000001</v>
      </c>
      <c r="E107" s="478">
        <v>0.14599999999999999</v>
      </c>
      <c r="F107" s="479">
        <v>2.1999999999999999E-2</v>
      </c>
      <c r="G107" s="480">
        <v>3441.1</v>
      </c>
      <c r="H107" s="480">
        <v>1.77</v>
      </c>
      <c r="I107" s="485">
        <v>3.07</v>
      </c>
      <c r="J107" s="475">
        <v>0.03</v>
      </c>
      <c r="K107" s="1"/>
    </row>
    <row r="108" spans="1:11" ht="35.049999999999997" customHeight="1" x14ac:dyDescent="0.3">
      <c r="A108" s="398" t="s">
        <v>863</v>
      </c>
      <c r="B108" s="17" t="s">
        <v>480</v>
      </c>
      <c r="C108" s="406">
        <v>0</v>
      </c>
      <c r="D108" s="481">
        <v>1.4530000000000001</v>
      </c>
      <c r="E108" s="478">
        <v>0.14599999999999999</v>
      </c>
      <c r="F108" s="479">
        <v>2.1999999999999999E-2</v>
      </c>
      <c r="G108" s="480">
        <v>7626.07</v>
      </c>
      <c r="H108" s="480">
        <v>1.77</v>
      </c>
      <c r="I108" s="485">
        <v>3.07</v>
      </c>
      <c r="J108" s="475">
        <v>0.03</v>
      </c>
      <c r="K108" s="1"/>
    </row>
    <row r="109" spans="1:11" ht="35.049999999999997" customHeight="1" x14ac:dyDescent="0.3">
      <c r="A109" s="398" t="s">
        <v>589</v>
      </c>
      <c r="B109" s="17" t="s">
        <v>480</v>
      </c>
      <c r="C109" s="406" t="s">
        <v>616</v>
      </c>
      <c r="D109" s="477">
        <v>5.46</v>
      </c>
      <c r="E109" s="483">
        <v>0.65200000000000002</v>
      </c>
      <c r="F109" s="479">
        <v>0.46899999999999997</v>
      </c>
      <c r="G109" s="476">
        <v>0</v>
      </c>
      <c r="H109" s="476">
        <v>0</v>
      </c>
      <c r="I109" s="516">
        <v>0</v>
      </c>
      <c r="J109" s="482">
        <v>0</v>
      </c>
      <c r="K109" s="1"/>
    </row>
    <row r="110" spans="1:11" ht="35.049999999999997" customHeight="1" x14ac:dyDescent="0.3">
      <c r="A110" s="398" t="s">
        <v>696</v>
      </c>
      <c r="B110" s="17" t="s">
        <v>480</v>
      </c>
      <c r="C110" s="406">
        <v>0</v>
      </c>
      <c r="D110" s="481">
        <v>-2.2909999999999999</v>
      </c>
      <c r="E110" s="478">
        <v>-0.251</v>
      </c>
      <c r="F110" s="479">
        <v>-2.7E-2</v>
      </c>
      <c r="G110" s="508">
        <v>0</v>
      </c>
      <c r="H110" s="476">
        <v>0</v>
      </c>
      <c r="I110" s="516">
        <v>0</v>
      </c>
      <c r="J110" s="482">
        <v>0</v>
      </c>
      <c r="K110" s="1"/>
    </row>
    <row r="111" spans="1:11" ht="35.049999999999997" customHeight="1" x14ac:dyDescent="0.3">
      <c r="A111" s="398" t="s">
        <v>697</v>
      </c>
      <c r="B111" s="17" t="s">
        <v>480</v>
      </c>
      <c r="C111" s="406">
        <v>0</v>
      </c>
      <c r="D111" s="481">
        <v>-2.4700000000000002</v>
      </c>
      <c r="E111" s="478">
        <v>-0.26800000000000002</v>
      </c>
      <c r="F111" s="479">
        <v>-3.1E-2</v>
      </c>
      <c r="G111" s="508">
        <v>0</v>
      </c>
      <c r="H111" s="476">
        <v>0</v>
      </c>
      <c r="I111" s="516">
        <v>0</v>
      </c>
      <c r="J111" s="482">
        <v>0</v>
      </c>
      <c r="K111" s="1"/>
    </row>
    <row r="112" spans="1:11" ht="35.049999999999997" customHeight="1" x14ac:dyDescent="0.3">
      <c r="A112" s="398" t="s">
        <v>698</v>
      </c>
      <c r="B112" s="17" t="s">
        <v>480</v>
      </c>
      <c r="C112" s="406">
        <v>0</v>
      </c>
      <c r="D112" s="481">
        <v>-2.2909999999999999</v>
      </c>
      <c r="E112" s="478">
        <v>-0.251</v>
      </c>
      <c r="F112" s="479">
        <v>-2.7E-2</v>
      </c>
      <c r="G112" s="508">
        <v>0</v>
      </c>
      <c r="H112" s="476">
        <v>0</v>
      </c>
      <c r="I112" s="516">
        <v>0</v>
      </c>
      <c r="J112" s="475">
        <v>5.8000000000000003E-2</v>
      </c>
      <c r="K112" s="1"/>
    </row>
    <row r="113" spans="1:11" ht="35.049999999999997" customHeight="1" x14ac:dyDescent="0.3">
      <c r="A113" s="398" t="s">
        <v>699</v>
      </c>
      <c r="B113" s="17" t="s">
        <v>480</v>
      </c>
      <c r="C113" s="406">
        <v>0</v>
      </c>
      <c r="D113" s="481">
        <v>-2.4700000000000002</v>
      </c>
      <c r="E113" s="478">
        <v>-0.26800000000000002</v>
      </c>
      <c r="F113" s="479">
        <v>-3.1E-2</v>
      </c>
      <c r="G113" s="508">
        <v>0</v>
      </c>
      <c r="H113" s="476">
        <v>0</v>
      </c>
      <c r="I113" s="516">
        <v>0</v>
      </c>
      <c r="J113" s="475">
        <v>5.7000000000000002E-2</v>
      </c>
      <c r="K113" s="1"/>
    </row>
    <row r="114" spans="1:11" ht="35.049999999999997" customHeight="1" x14ac:dyDescent="0.3">
      <c r="A114" s="398" t="s">
        <v>700</v>
      </c>
      <c r="B114" s="17" t="s">
        <v>480</v>
      </c>
      <c r="C114" s="406">
        <v>0</v>
      </c>
      <c r="D114" s="481">
        <v>-3.476</v>
      </c>
      <c r="E114" s="478">
        <v>-0.35699999999999998</v>
      </c>
      <c r="F114" s="479">
        <v>-5.0999999999999997E-2</v>
      </c>
      <c r="G114" s="480">
        <v>64.69</v>
      </c>
      <c r="H114" s="476">
        <v>0</v>
      </c>
      <c r="I114" s="516">
        <v>0</v>
      </c>
      <c r="J114" s="475">
        <v>0.10299999999999999</v>
      </c>
      <c r="K114" s="1"/>
    </row>
    <row r="115" spans="1:11" ht="35.049999999999997" customHeight="1" x14ac:dyDescent="0.3">
      <c r="A115" s="398" t="s">
        <v>864</v>
      </c>
      <c r="B115" s="17" t="s">
        <v>480</v>
      </c>
      <c r="C115" s="406" t="s">
        <v>574</v>
      </c>
      <c r="D115" s="481">
        <v>1.907</v>
      </c>
      <c r="E115" s="478">
        <v>0.20899999999999999</v>
      </c>
      <c r="F115" s="479">
        <v>2.3E-2</v>
      </c>
      <c r="G115" s="480">
        <v>2.72</v>
      </c>
      <c r="H115" s="476">
        <v>0</v>
      </c>
      <c r="I115" s="516">
        <v>0</v>
      </c>
      <c r="J115" s="482">
        <v>0</v>
      </c>
      <c r="K115" s="1"/>
    </row>
    <row r="116" spans="1:11" ht="35.049999999999997" customHeight="1" x14ac:dyDescent="0.3">
      <c r="A116" s="398" t="s">
        <v>865</v>
      </c>
      <c r="B116" s="17" t="s">
        <v>480</v>
      </c>
      <c r="C116" s="406" t="s">
        <v>575</v>
      </c>
      <c r="D116" s="481">
        <v>1.907</v>
      </c>
      <c r="E116" s="478">
        <v>0.20899999999999999</v>
      </c>
      <c r="F116" s="479">
        <v>2.3E-2</v>
      </c>
      <c r="G116" s="476">
        <v>0</v>
      </c>
      <c r="H116" s="476">
        <v>0</v>
      </c>
      <c r="I116" s="516">
        <v>0</v>
      </c>
      <c r="J116" s="482">
        <v>0</v>
      </c>
      <c r="K116" s="1"/>
    </row>
    <row r="117" spans="1:11" ht="35.049999999999997" customHeight="1" x14ac:dyDescent="0.3">
      <c r="A117" s="398" t="s">
        <v>866</v>
      </c>
      <c r="B117" s="17" t="s">
        <v>480</v>
      </c>
      <c r="C117" s="406" t="s">
        <v>930</v>
      </c>
      <c r="D117" s="481">
        <v>1.72</v>
      </c>
      <c r="E117" s="478">
        <v>0.188</v>
      </c>
      <c r="F117" s="479">
        <v>2.1000000000000001E-2</v>
      </c>
      <c r="G117" s="480">
        <v>2.2200000000000002</v>
      </c>
      <c r="H117" s="476">
        <v>0</v>
      </c>
      <c r="I117" s="516">
        <v>0</v>
      </c>
      <c r="J117" s="482">
        <v>0</v>
      </c>
      <c r="K117" s="1"/>
    </row>
    <row r="118" spans="1:11" ht="35.049999999999997" customHeight="1" x14ac:dyDescent="0.3">
      <c r="A118" s="398" t="s">
        <v>867</v>
      </c>
      <c r="B118" s="17" t="s">
        <v>480</v>
      </c>
      <c r="C118" s="406" t="s">
        <v>930</v>
      </c>
      <c r="D118" s="481">
        <v>1.72</v>
      </c>
      <c r="E118" s="478">
        <v>0.188</v>
      </c>
      <c r="F118" s="479">
        <v>2.1000000000000001E-2</v>
      </c>
      <c r="G118" s="480">
        <v>2.9</v>
      </c>
      <c r="H118" s="476">
        <v>0</v>
      </c>
      <c r="I118" s="516">
        <v>0</v>
      </c>
      <c r="J118" s="482">
        <v>0</v>
      </c>
      <c r="K118" s="1"/>
    </row>
    <row r="119" spans="1:11" ht="35.049999999999997" customHeight="1" x14ac:dyDescent="0.3">
      <c r="A119" s="398" t="s">
        <v>868</v>
      </c>
      <c r="B119" s="17" t="s">
        <v>480</v>
      </c>
      <c r="C119" s="406" t="s">
        <v>930</v>
      </c>
      <c r="D119" s="481">
        <v>1.72</v>
      </c>
      <c r="E119" s="478">
        <v>0.188</v>
      </c>
      <c r="F119" s="479">
        <v>2.1000000000000001E-2</v>
      </c>
      <c r="G119" s="480">
        <v>5.57</v>
      </c>
      <c r="H119" s="476">
        <v>0</v>
      </c>
      <c r="I119" s="516">
        <v>0</v>
      </c>
      <c r="J119" s="482">
        <v>0</v>
      </c>
      <c r="K119" s="1"/>
    </row>
    <row r="120" spans="1:11" ht="35.049999999999997" customHeight="1" x14ac:dyDescent="0.3">
      <c r="A120" s="398" t="s">
        <v>869</v>
      </c>
      <c r="B120" s="17" t="s">
        <v>480</v>
      </c>
      <c r="C120" s="406" t="s">
        <v>930</v>
      </c>
      <c r="D120" s="481">
        <v>1.72</v>
      </c>
      <c r="E120" s="478">
        <v>0.188</v>
      </c>
      <c r="F120" s="479">
        <v>2.1000000000000001E-2</v>
      </c>
      <c r="G120" s="480">
        <v>10.38</v>
      </c>
      <c r="H120" s="476">
        <v>0</v>
      </c>
      <c r="I120" s="516">
        <v>0</v>
      </c>
      <c r="J120" s="482">
        <v>0</v>
      </c>
      <c r="K120" s="1"/>
    </row>
    <row r="121" spans="1:11" ht="35.049999999999997" customHeight="1" x14ac:dyDescent="0.3">
      <c r="A121" s="398" t="s">
        <v>870</v>
      </c>
      <c r="B121" s="17" t="s">
        <v>480</v>
      </c>
      <c r="C121" s="406" t="s">
        <v>930</v>
      </c>
      <c r="D121" s="481">
        <v>1.72</v>
      </c>
      <c r="E121" s="478">
        <v>0.188</v>
      </c>
      <c r="F121" s="479">
        <v>2.1000000000000001E-2</v>
      </c>
      <c r="G121" s="480">
        <v>28.3</v>
      </c>
      <c r="H121" s="476">
        <v>0</v>
      </c>
      <c r="I121" s="516">
        <v>0</v>
      </c>
      <c r="J121" s="482">
        <v>0</v>
      </c>
      <c r="K121" s="1"/>
    </row>
    <row r="122" spans="1:11" ht="35.049999999999997" customHeight="1" x14ac:dyDescent="0.3">
      <c r="A122" s="398" t="s">
        <v>590</v>
      </c>
      <c r="B122" s="17" t="s">
        <v>480</v>
      </c>
      <c r="C122" s="406" t="s">
        <v>577</v>
      </c>
      <c r="D122" s="481">
        <v>1.72</v>
      </c>
      <c r="E122" s="478">
        <v>0.188</v>
      </c>
      <c r="F122" s="479">
        <v>2.1000000000000001E-2</v>
      </c>
      <c r="G122" s="476">
        <v>0</v>
      </c>
      <c r="H122" s="476">
        <v>0</v>
      </c>
      <c r="I122" s="516">
        <v>0</v>
      </c>
      <c r="J122" s="482">
        <v>0</v>
      </c>
      <c r="K122" s="1"/>
    </row>
    <row r="123" spans="1:11" ht="35.049999999999997" customHeight="1" x14ac:dyDescent="0.3">
      <c r="A123" s="398" t="s">
        <v>871</v>
      </c>
      <c r="B123" s="17" t="s">
        <v>480</v>
      </c>
      <c r="C123" s="406">
        <v>0</v>
      </c>
      <c r="D123" s="481">
        <v>1.3160000000000001</v>
      </c>
      <c r="E123" s="478">
        <v>0.14199999999999999</v>
      </c>
      <c r="F123" s="479">
        <v>1.7000000000000001E-2</v>
      </c>
      <c r="G123" s="480">
        <v>3.25</v>
      </c>
      <c r="H123" s="480">
        <v>0.77</v>
      </c>
      <c r="I123" s="485">
        <v>1.44</v>
      </c>
      <c r="J123" s="475">
        <v>2.9000000000000001E-2</v>
      </c>
      <c r="K123" s="1"/>
    </row>
    <row r="124" spans="1:11" ht="35.049999999999997" customHeight="1" x14ac:dyDescent="0.3">
      <c r="A124" s="398" t="s">
        <v>872</v>
      </c>
      <c r="B124" s="17" t="s">
        <v>480</v>
      </c>
      <c r="C124" s="406">
        <v>0</v>
      </c>
      <c r="D124" s="481">
        <v>1.3160000000000001</v>
      </c>
      <c r="E124" s="478">
        <v>0.14199999999999999</v>
      </c>
      <c r="F124" s="479">
        <v>1.7000000000000001E-2</v>
      </c>
      <c r="G124" s="480">
        <v>45.07</v>
      </c>
      <c r="H124" s="480">
        <v>0.77</v>
      </c>
      <c r="I124" s="485">
        <v>1.44</v>
      </c>
      <c r="J124" s="475">
        <v>2.9000000000000001E-2</v>
      </c>
      <c r="K124" s="1"/>
    </row>
    <row r="125" spans="1:11" ht="35.049999999999997" customHeight="1" x14ac:dyDescent="0.3">
      <c r="A125" s="398" t="s">
        <v>873</v>
      </c>
      <c r="B125" s="17" t="s">
        <v>480</v>
      </c>
      <c r="C125" s="406">
        <v>0</v>
      </c>
      <c r="D125" s="481">
        <v>1.3160000000000001</v>
      </c>
      <c r="E125" s="478">
        <v>0.14199999999999999</v>
      </c>
      <c r="F125" s="479">
        <v>1.7000000000000001E-2</v>
      </c>
      <c r="G125" s="480">
        <v>87</v>
      </c>
      <c r="H125" s="480">
        <v>0.77</v>
      </c>
      <c r="I125" s="485">
        <v>1.44</v>
      </c>
      <c r="J125" s="475">
        <v>2.9000000000000001E-2</v>
      </c>
      <c r="K125" s="1"/>
    </row>
    <row r="126" spans="1:11" ht="35.049999999999997" customHeight="1" x14ac:dyDescent="0.3">
      <c r="A126" s="398" t="s">
        <v>874</v>
      </c>
      <c r="B126" s="17" t="s">
        <v>480</v>
      </c>
      <c r="C126" s="406">
        <v>0</v>
      </c>
      <c r="D126" s="481">
        <v>1.3160000000000001</v>
      </c>
      <c r="E126" s="478">
        <v>0.14199999999999999</v>
      </c>
      <c r="F126" s="479">
        <v>1.7000000000000001E-2</v>
      </c>
      <c r="G126" s="480">
        <v>140.27000000000001</v>
      </c>
      <c r="H126" s="480">
        <v>0.77</v>
      </c>
      <c r="I126" s="485">
        <v>1.44</v>
      </c>
      <c r="J126" s="475">
        <v>2.9000000000000001E-2</v>
      </c>
      <c r="K126" s="1"/>
    </row>
    <row r="127" spans="1:11" ht="35.049999999999997" customHeight="1" x14ac:dyDescent="0.3">
      <c r="A127" s="398" t="s">
        <v>875</v>
      </c>
      <c r="B127" s="17" t="s">
        <v>480</v>
      </c>
      <c r="C127" s="406">
        <v>0</v>
      </c>
      <c r="D127" s="481">
        <v>1.3160000000000001</v>
      </c>
      <c r="E127" s="478">
        <v>0.14199999999999999</v>
      </c>
      <c r="F127" s="479">
        <v>1.7000000000000001E-2</v>
      </c>
      <c r="G127" s="480">
        <v>329.24</v>
      </c>
      <c r="H127" s="480">
        <v>0.77</v>
      </c>
      <c r="I127" s="485">
        <v>1.44</v>
      </c>
      <c r="J127" s="475">
        <v>2.9000000000000001E-2</v>
      </c>
      <c r="K127" s="1"/>
    </row>
    <row r="128" spans="1:11" ht="35.049999999999997" customHeight="1" x14ac:dyDescent="0.3">
      <c r="A128" s="398" t="s">
        <v>876</v>
      </c>
      <c r="B128" s="17" t="s">
        <v>480</v>
      </c>
      <c r="C128" s="406">
        <v>0</v>
      </c>
      <c r="D128" s="481">
        <v>1.395</v>
      </c>
      <c r="E128" s="478">
        <v>0.14399999999999999</v>
      </c>
      <c r="F128" s="479">
        <v>0.02</v>
      </c>
      <c r="G128" s="480">
        <v>3.8</v>
      </c>
      <c r="H128" s="480">
        <v>1.21</v>
      </c>
      <c r="I128" s="485">
        <v>2.0299999999999998</v>
      </c>
      <c r="J128" s="475">
        <v>3.1E-2</v>
      </c>
      <c r="K128" s="1"/>
    </row>
    <row r="129" spans="1:11" ht="35.049999999999997" customHeight="1" x14ac:dyDescent="0.3">
      <c r="A129" s="398" t="s">
        <v>877</v>
      </c>
      <c r="B129" s="17" t="s">
        <v>480</v>
      </c>
      <c r="C129" s="406">
        <v>0</v>
      </c>
      <c r="D129" s="481">
        <v>1.395</v>
      </c>
      <c r="E129" s="478">
        <v>0.14399999999999999</v>
      </c>
      <c r="F129" s="479">
        <v>0.02</v>
      </c>
      <c r="G129" s="480">
        <v>66.86</v>
      </c>
      <c r="H129" s="480">
        <v>1.21</v>
      </c>
      <c r="I129" s="485">
        <v>2.0299999999999998</v>
      </c>
      <c r="J129" s="475">
        <v>3.1E-2</v>
      </c>
      <c r="K129" s="1"/>
    </row>
    <row r="130" spans="1:11" ht="35.049999999999997" customHeight="1" x14ac:dyDescent="0.3">
      <c r="A130" s="398" t="s">
        <v>878</v>
      </c>
      <c r="B130" s="17" t="s">
        <v>480</v>
      </c>
      <c r="C130" s="406">
        <v>0</v>
      </c>
      <c r="D130" s="481">
        <v>1.395</v>
      </c>
      <c r="E130" s="478">
        <v>0.14399999999999999</v>
      </c>
      <c r="F130" s="479">
        <v>0.02</v>
      </c>
      <c r="G130" s="480">
        <v>130.09</v>
      </c>
      <c r="H130" s="480">
        <v>1.21</v>
      </c>
      <c r="I130" s="485">
        <v>2.0299999999999998</v>
      </c>
      <c r="J130" s="475">
        <v>3.1E-2</v>
      </c>
      <c r="K130" s="1"/>
    </row>
    <row r="131" spans="1:11" ht="35.049999999999997" customHeight="1" x14ac:dyDescent="0.3">
      <c r="A131" s="398" t="s">
        <v>879</v>
      </c>
      <c r="B131" s="17" t="s">
        <v>480</v>
      </c>
      <c r="C131" s="406">
        <v>0</v>
      </c>
      <c r="D131" s="481">
        <v>1.395</v>
      </c>
      <c r="E131" s="478">
        <v>0.14399999999999999</v>
      </c>
      <c r="F131" s="479">
        <v>0.02</v>
      </c>
      <c r="G131" s="480">
        <v>210.43</v>
      </c>
      <c r="H131" s="480">
        <v>1.21</v>
      </c>
      <c r="I131" s="485">
        <v>2.0299999999999998</v>
      </c>
      <c r="J131" s="475">
        <v>3.1E-2</v>
      </c>
      <c r="K131" s="1"/>
    </row>
    <row r="132" spans="1:11" ht="35.049999999999997" customHeight="1" x14ac:dyDescent="0.3">
      <c r="A132" s="398" t="s">
        <v>880</v>
      </c>
      <c r="B132" s="17" t="s">
        <v>480</v>
      </c>
      <c r="C132" s="406">
        <v>0</v>
      </c>
      <c r="D132" s="481">
        <v>1.395</v>
      </c>
      <c r="E132" s="478">
        <v>0.14399999999999999</v>
      </c>
      <c r="F132" s="479">
        <v>0.02</v>
      </c>
      <c r="G132" s="480">
        <v>495.42</v>
      </c>
      <c r="H132" s="480">
        <v>1.21</v>
      </c>
      <c r="I132" s="485">
        <v>2.0299999999999998</v>
      </c>
      <c r="J132" s="475">
        <v>3.1E-2</v>
      </c>
      <c r="K132" s="1"/>
    </row>
    <row r="133" spans="1:11" ht="35.049999999999997" customHeight="1" x14ac:dyDescent="0.3">
      <c r="A133" s="398" t="s">
        <v>881</v>
      </c>
      <c r="B133" s="17" t="s">
        <v>480</v>
      </c>
      <c r="C133" s="406">
        <v>0</v>
      </c>
      <c r="D133" s="481">
        <v>1.2170000000000001</v>
      </c>
      <c r="E133" s="478">
        <v>0.122</v>
      </c>
      <c r="F133" s="479">
        <v>1.7999999999999999E-2</v>
      </c>
      <c r="G133" s="480">
        <v>39.79</v>
      </c>
      <c r="H133" s="480">
        <v>1.48</v>
      </c>
      <c r="I133" s="485">
        <v>2.57</v>
      </c>
      <c r="J133" s="475">
        <v>2.5000000000000001E-2</v>
      </c>
      <c r="K133" s="1"/>
    </row>
    <row r="134" spans="1:11" ht="35.049999999999997" customHeight="1" x14ac:dyDescent="0.3">
      <c r="A134" s="398" t="s">
        <v>882</v>
      </c>
      <c r="B134" s="17" t="s">
        <v>480</v>
      </c>
      <c r="C134" s="406">
        <v>0</v>
      </c>
      <c r="D134" s="481">
        <v>1.2170000000000001</v>
      </c>
      <c r="E134" s="478">
        <v>0.122</v>
      </c>
      <c r="F134" s="479">
        <v>1.7999999999999999E-2</v>
      </c>
      <c r="G134" s="480">
        <v>416.64</v>
      </c>
      <c r="H134" s="480">
        <v>1.48</v>
      </c>
      <c r="I134" s="485">
        <v>2.57</v>
      </c>
      <c r="J134" s="475">
        <v>2.5000000000000001E-2</v>
      </c>
      <c r="K134" s="1"/>
    </row>
    <row r="135" spans="1:11" ht="35.049999999999997" customHeight="1" x14ac:dyDescent="0.3">
      <c r="A135" s="398" t="s">
        <v>883</v>
      </c>
      <c r="B135" s="17" t="s">
        <v>480</v>
      </c>
      <c r="C135" s="406">
        <v>0</v>
      </c>
      <c r="D135" s="481">
        <v>1.2170000000000001</v>
      </c>
      <c r="E135" s="478">
        <v>0.122</v>
      </c>
      <c r="F135" s="479">
        <v>1.7999999999999999E-2</v>
      </c>
      <c r="G135" s="480">
        <v>1424.52</v>
      </c>
      <c r="H135" s="480">
        <v>1.48</v>
      </c>
      <c r="I135" s="485">
        <v>2.57</v>
      </c>
      <c r="J135" s="475">
        <v>2.5000000000000001E-2</v>
      </c>
      <c r="K135" s="1"/>
    </row>
    <row r="136" spans="1:11" ht="35.049999999999997" customHeight="1" x14ac:dyDescent="0.3">
      <c r="A136" s="398" t="s">
        <v>884</v>
      </c>
      <c r="B136" s="17" t="s">
        <v>480</v>
      </c>
      <c r="C136" s="406">
        <v>0</v>
      </c>
      <c r="D136" s="481">
        <v>1.2170000000000001</v>
      </c>
      <c r="E136" s="478">
        <v>0.122</v>
      </c>
      <c r="F136" s="479">
        <v>1.7999999999999999E-2</v>
      </c>
      <c r="G136" s="480">
        <v>2883.45</v>
      </c>
      <c r="H136" s="480">
        <v>1.48</v>
      </c>
      <c r="I136" s="485">
        <v>2.57</v>
      </c>
      <c r="J136" s="475">
        <v>2.5000000000000001E-2</v>
      </c>
      <c r="K136" s="1"/>
    </row>
    <row r="137" spans="1:11" ht="35.049999999999997" customHeight="1" x14ac:dyDescent="0.3">
      <c r="A137" s="398" t="s">
        <v>885</v>
      </c>
      <c r="B137" s="17" t="s">
        <v>480</v>
      </c>
      <c r="C137" s="406">
        <v>0</v>
      </c>
      <c r="D137" s="481">
        <v>1.2170000000000001</v>
      </c>
      <c r="E137" s="478">
        <v>0.122</v>
      </c>
      <c r="F137" s="479">
        <v>1.7999999999999999E-2</v>
      </c>
      <c r="G137" s="480">
        <v>6390.19</v>
      </c>
      <c r="H137" s="480">
        <v>1.48</v>
      </c>
      <c r="I137" s="485">
        <v>2.57</v>
      </c>
      <c r="J137" s="475">
        <v>2.5000000000000001E-2</v>
      </c>
      <c r="K137" s="1"/>
    </row>
    <row r="138" spans="1:11" ht="35.049999999999997" customHeight="1" x14ac:dyDescent="0.3">
      <c r="A138" s="398" t="s">
        <v>591</v>
      </c>
      <c r="B138" s="17" t="s">
        <v>480</v>
      </c>
      <c r="C138" s="406" t="s">
        <v>616</v>
      </c>
      <c r="D138" s="477">
        <v>4.5750000000000002</v>
      </c>
      <c r="E138" s="483">
        <v>0.54600000000000004</v>
      </c>
      <c r="F138" s="479">
        <v>0.39300000000000002</v>
      </c>
      <c r="G138" s="476">
        <v>0</v>
      </c>
      <c r="H138" s="476">
        <v>0</v>
      </c>
      <c r="I138" s="516">
        <v>0</v>
      </c>
      <c r="J138" s="482">
        <v>0</v>
      </c>
      <c r="K138" s="1"/>
    </row>
    <row r="139" spans="1:11" ht="35.049999999999997" customHeight="1" x14ac:dyDescent="0.3">
      <c r="A139" s="398" t="s">
        <v>701</v>
      </c>
      <c r="B139" s="17" t="s">
        <v>480</v>
      </c>
      <c r="C139" s="406">
        <v>0</v>
      </c>
      <c r="D139" s="481">
        <v>-1.919</v>
      </c>
      <c r="E139" s="478">
        <v>-0.21</v>
      </c>
      <c r="F139" s="479">
        <v>-2.3E-2</v>
      </c>
      <c r="G139" s="508">
        <v>0</v>
      </c>
      <c r="H139" s="476">
        <v>0</v>
      </c>
      <c r="I139" s="516">
        <v>0</v>
      </c>
      <c r="J139" s="482">
        <v>0</v>
      </c>
      <c r="K139" s="1"/>
    </row>
    <row r="140" spans="1:11" ht="35.049999999999997" customHeight="1" x14ac:dyDescent="0.3">
      <c r="A140" s="398" t="s">
        <v>702</v>
      </c>
      <c r="B140" s="17" t="s">
        <v>480</v>
      </c>
      <c r="C140" s="406">
        <v>0</v>
      </c>
      <c r="D140" s="481">
        <v>-2.0699999999999998</v>
      </c>
      <c r="E140" s="478">
        <v>-0.22500000000000001</v>
      </c>
      <c r="F140" s="479">
        <v>-2.5999999999999999E-2</v>
      </c>
      <c r="G140" s="508">
        <v>0</v>
      </c>
      <c r="H140" s="476">
        <v>0</v>
      </c>
      <c r="I140" s="516">
        <v>0</v>
      </c>
      <c r="J140" s="482">
        <v>0</v>
      </c>
      <c r="K140" s="1"/>
    </row>
    <row r="141" spans="1:11" ht="35.049999999999997" customHeight="1" x14ac:dyDescent="0.3">
      <c r="A141" s="398" t="s">
        <v>703</v>
      </c>
      <c r="B141" s="17" t="s">
        <v>480</v>
      </c>
      <c r="C141" s="406">
        <v>0</v>
      </c>
      <c r="D141" s="481">
        <v>-1.919</v>
      </c>
      <c r="E141" s="478">
        <v>-0.21</v>
      </c>
      <c r="F141" s="479">
        <v>-2.3E-2</v>
      </c>
      <c r="G141" s="508">
        <v>0</v>
      </c>
      <c r="H141" s="476">
        <v>0</v>
      </c>
      <c r="I141" s="516">
        <v>0</v>
      </c>
      <c r="J141" s="475">
        <v>4.9000000000000002E-2</v>
      </c>
    </row>
    <row r="142" spans="1:11" ht="35.049999999999997" customHeight="1" x14ac:dyDescent="0.3">
      <c r="A142" s="398" t="s">
        <v>704</v>
      </c>
      <c r="B142" s="17" t="s">
        <v>480</v>
      </c>
      <c r="C142" s="406">
        <v>0</v>
      </c>
      <c r="D142" s="481">
        <v>-2.0699999999999998</v>
      </c>
      <c r="E142" s="478">
        <v>-0.22500000000000001</v>
      </c>
      <c r="F142" s="479">
        <v>-2.5999999999999999E-2</v>
      </c>
      <c r="G142" s="508">
        <v>0</v>
      </c>
      <c r="H142" s="476">
        <v>0</v>
      </c>
      <c r="I142" s="516">
        <v>0</v>
      </c>
      <c r="J142" s="475">
        <v>4.7E-2</v>
      </c>
    </row>
    <row r="143" spans="1:11" ht="35.049999999999997" customHeight="1" x14ac:dyDescent="0.3">
      <c r="A143" s="398" t="s">
        <v>705</v>
      </c>
      <c r="B143" s="17" t="s">
        <v>480</v>
      </c>
      <c r="C143" s="406">
        <v>0</v>
      </c>
      <c r="D143" s="481">
        <v>-2.9119999999999999</v>
      </c>
      <c r="E143" s="478">
        <v>-0.29899999999999999</v>
      </c>
      <c r="F143" s="479">
        <v>-4.2999999999999997E-2</v>
      </c>
      <c r="G143" s="480">
        <v>54.21</v>
      </c>
      <c r="H143" s="476">
        <v>0</v>
      </c>
      <c r="I143" s="516">
        <v>0</v>
      </c>
      <c r="J143" s="475">
        <v>8.5999999999999993E-2</v>
      </c>
    </row>
    <row r="144" spans="1:11" ht="35.049999999999997" customHeight="1" x14ac:dyDescent="0.3">
      <c r="A144" s="398" t="s">
        <v>886</v>
      </c>
      <c r="B144" s="17" t="s">
        <v>480</v>
      </c>
      <c r="C144" s="406" t="s">
        <v>574</v>
      </c>
      <c r="D144" s="481">
        <v>1.0780000000000001</v>
      </c>
      <c r="E144" s="478">
        <v>0.11799999999999999</v>
      </c>
      <c r="F144" s="479">
        <v>1.2999999999999999E-2</v>
      </c>
      <c r="G144" s="480">
        <v>1.66</v>
      </c>
      <c r="H144" s="476">
        <v>0</v>
      </c>
      <c r="I144" s="516">
        <v>0</v>
      </c>
      <c r="J144" s="482">
        <v>0</v>
      </c>
    </row>
    <row r="145" spans="1:10" ht="35.049999999999997" customHeight="1" x14ac:dyDescent="0.3">
      <c r="A145" s="398" t="s">
        <v>887</v>
      </c>
      <c r="B145" s="17" t="s">
        <v>480</v>
      </c>
      <c r="C145" s="406" t="s">
        <v>575</v>
      </c>
      <c r="D145" s="481">
        <v>1.0780000000000001</v>
      </c>
      <c r="E145" s="478">
        <v>0.11799999999999999</v>
      </c>
      <c r="F145" s="479">
        <v>1.2999999999999999E-2</v>
      </c>
      <c r="G145" s="476">
        <v>0</v>
      </c>
      <c r="H145" s="476">
        <v>0</v>
      </c>
      <c r="I145" s="516">
        <v>0</v>
      </c>
      <c r="J145" s="482">
        <v>0</v>
      </c>
    </row>
    <row r="146" spans="1:10" ht="35.049999999999997" customHeight="1" x14ac:dyDescent="0.3">
      <c r="A146" s="398" t="s">
        <v>888</v>
      </c>
      <c r="B146" s="17" t="s">
        <v>480</v>
      </c>
      <c r="C146" s="406" t="s">
        <v>930</v>
      </c>
      <c r="D146" s="481">
        <v>0.97299999999999998</v>
      </c>
      <c r="E146" s="478">
        <v>0.106</v>
      </c>
      <c r="F146" s="479">
        <v>1.2E-2</v>
      </c>
      <c r="G146" s="480">
        <v>1.34</v>
      </c>
      <c r="H146" s="476">
        <v>0</v>
      </c>
      <c r="I146" s="516">
        <v>0</v>
      </c>
      <c r="J146" s="482">
        <v>0</v>
      </c>
    </row>
    <row r="147" spans="1:10" ht="35.049999999999997" customHeight="1" x14ac:dyDescent="0.3">
      <c r="A147" s="398" t="s">
        <v>889</v>
      </c>
      <c r="B147" s="17" t="s">
        <v>480</v>
      </c>
      <c r="C147" s="406" t="s">
        <v>930</v>
      </c>
      <c r="D147" s="481">
        <v>0.97299999999999998</v>
      </c>
      <c r="E147" s="478">
        <v>0.106</v>
      </c>
      <c r="F147" s="479">
        <v>1.2E-2</v>
      </c>
      <c r="G147" s="480">
        <v>1.72</v>
      </c>
      <c r="H147" s="476">
        <v>0</v>
      </c>
      <c r="I147" s="516">
        <v>0</v>
      </c>
      <c r="J147" s="482">
        <v>0</v>
      </c>
    </row>
    <row r="148" spans="1:10" ht="35.049999999999997" customHeight="1" x14ac:dyDescent="0.3">
      <c r="A148" s="398" t="s">
        <v>890</v>
      </c>
      <c r="B148" s="17" t="s">
        <v>480</v>
      </c>
      <c r="C148" s="406" t="s">
        <v>930</v>
      </c>
      <c r="D148" s="481">
        <v>0.97299999999999998</v>
      </c>
      <c r="E148" s="478">
        <v>0.106</v>
      </c>
      <c r="F148" s="479">
        <v>1.2E-2</v>
      </c>
      <c r="G148" s="480">
        <v>3.23</v>
      </c>
      <c r="H148" s="476">
        <v>0</v>
      </c>
      <c r="I148" s="516">
        <v>0</v>
      </c>
      <c r="J148" s="482">
        <v>0</v>
      </c>
    </row>
    <row r="149" spans="1:10" ht="35.049999999999997" customHeight="1" x14ac:dyDescent="0.3">
      <c r="A149" s="398" t="s">
        <v>891</v>
      </c>
      <c r="B149" s="17" t="s">
        <v>480</v>
      </c>
      <c r="C149" s="406" t="s">
        <v>930</v>
      </c>
      <c r="D149" s="481">
        <v>0.97299999999999998</v>
      </c>
      <c r="E149" s="478">
        <v>0.106</v>
      </c>
      <c r="F149" s="479">
        <v>1.2E-2</v>
      </c>
      <c r="G149" s="480">
        <v>5.95</v>
      </c>
      <c r="H149" s="476">
        <v>0</v>
      </c>
      <c r="I149" s="516">
        <v>0</v>
      </c>
      <c r="J149" s="482">
        <v>0</v>
      </c>
    </row>
    <row r="150" spans="1:10" ht="35.049999999999997" customHeight="1" x14ac:dyDescent="0.3">
      <c r="A150" s="398" t="s">
        <v>892</v>
      </c>
      <c r="B150" s="17" t="s">
        <v>480</v>
      </c>
      <c r="C150" s="406" t="s">
        <v>930</v>
      </c>
      <c r="D150" s="481">
        <v>0.97299999999999998</v>
      </c>
      <c r="E150" s="478">
        <v>0.106</v>
      </c>
      <c r="F150" s="479">
        <v>1.2E-2</v>
      </c>
      <c r="G150" s="480">
        <v>16.079999999999998</v>
      </c>
      <c r="H150" s="476">
        <v>0</v>
      </c>
      <c r="I150" s="516">
        <v>0</v>
      </c>
      <c r="J150" s="482">
        <v>0</v>
      </c>
    </row>
    <row r="151" spans="1:10" ht="35.049999999999997" customHeight="1" x14ac:dyDescent="0.3">
      <c r="A151" s="398" t="s">
        <v>592</v>
      </c>
      <c r="B151" s="17" t="s">
        <v>480</v>
      </c>
      <c r="C151" s="406" t="s">
        <v>577</v>
      </c>
      <c r="D151" s="481">
        <v>0.97299999999999998</v>
      </c>
      <c r="E151" s="478">
        <v>0.106</v>
      </c>
      <c r="F151" s="479">
        <v>1.2E-2</v>
      </c>
      <c r="G151" s="476">
        <v>0</v>
      </c>
      <c r="H151" s="476">
        <v>0</v>
      </c>
      <c r="I151" s="516">
        <v>0</v>
      </c>
      <c r="J151" s="482">
        <v>0</v>
      </c>
    </row>
    <row r="152" spans="1:10" ht="35.049999999999997" customHeight="1" x14ac:dyDescent="0.3">
      <c r="A152" s="398" t="s">
        <v>893</v>
      </c>
      <c r="B152" s="17" t="s">
        <v>480</v>
      </c>
      <c r="C152" s="406">
        <v>0</v>
      </c>
      <c r="D152" s="481">
        <v>0.74399999999999999</v>
      </c>
      <c r="E152" s="478">
        <v>0.08</v>
      </c>
      <c r="F152" s="479">
        <v>8.9999999999999993E-3</v>
      </c>
      <c r="G152" s="480">
        <v>1.92</v>
      </c>
      <c r="H152" s="480">
        <v>0.44</v>
      </c>
      <c r="I152" s="485">
        <v>0.82</v>
      </c>
      <c r="J152" s="475">
        <v>1.6E-2</v>
      </c>
    </row>
    <row r="153" spans="1:10" ht="35.049999999999997" customHeight="1" x14ac:dyDescent="0.3">
      <c r="A153" s="398" t="s">
        <v>894</v>
      </c>
      <c r="B153" s="17" t="s">
        <v>480</v>
      </c>
      <c r="C153" s="406">
        <v>0</v>
      </c>
      <c r="D153" s="481">
        <v>0.74399999999999999</v>
      </c>
      <c r="E153" s="478">
        <v>0.08</v>
      </c>
      <c r="F153" s="479">
        <v>8.9999999999999993E-3</v>
      </c>
      <c r="G153" s="480">
        <v>25.57</v>
      </c>
      <c r="H153" s="480">
        <v>0.44</v>
      </c>
      <c r="I153" s="485">
        <v>0.82</v>
      </c>
      <c r="J153" s="475">
        <v>1.6E-2</v>
      </c>
    </row>
    <row r="154" spans="1:10" ht="35.049999999999997" customHeight="1" x14ac:dyDescent="0.3">
      <c r="A154" s="398" t="s">
        <v>895</v>
      </c>
      <c r="B154" s="17" t="s">
        <v>480</v>
      </c>
      <c r="C154" s="406">
        <v>0</v>
      </c>
      <c r="D154" s="481">
        <v>0.74399999999999999</v>
      </c>
      <c r="E154" s="478">
        <v>0.08</v>
      </c>
      <c r="F154" s="479">
        <v>8.9999999999999993E-3</v>
      </c>
      <c r="G154" s="480">
        <v>49.28</v>
      </c>
      <c r="H154" s="480">
        <v>0.44</v>
      </c>
      <c r="I154" s="485">
        <v>0.82</v>
      </c>
      <c r="J154" s="475">
        <v>1.6E-2</v>
      </c>
    </row>
    <row r="155" spans="1:10" ht="35.049999999999997" customHeight="1" x14ac:dyDescent="0.3">
      <c r="A155" s="398" t="s">
        <v>896</v>
      </c>
      <c r="B155" s="17" t="s">
        <v>480</v>
      </c>
      <c r="C155" s="406">
        <v>0</v>
      </c>
      <c r="D155" s="481">
        <v>0.74399999999999999</v>
      </c>
      <c r="E155" s="478">
        <v>0.08</v>
      </c>
      <c r="F155" s="479">
        <v>8.9999999999999993E-3</v>
      </c>
      <c r="G155" s="480">
        <v>79.400000000000006</v>
      </c>
      <c r="H155" s="480">
        <v>0.44</v>
      </c>
      <c r="I155" s="485">
        <v>0.82</v>
      </c>
      <c r="J155" s="475">
        <v>1.6E-2</v>
      </c>
    </row>
    <row r="156" spans="1:10" ht="35.049999999999997" customHeight="1" x14ac:dyDescent="0.3">
      <c r="A156" s="398" t="s">
        <v>897</v>
      </c>
      <c r="B156" s="17" t="s">
        <v>480</v>
      </c>
      <c r="C156" s="406">
        <v>0</v>
      </c>
      <c r="D156" s="481">
        <v>0.74399999999999999</v>
      </c>
      <c r="E156" s="478">
        <v>0.08</v>
      </c>
      <c r="F156" s="479">
        <v>8.9999999999999993E-3</v>
      </c>
      <c r="G156" s="480">
        <v>186.26</v>
      </c>
      <c r="H156" s="480">
        <v>0.44</v>
      </c>
      <c r="I156" s="485">
        <v>0.82</v>
      </c>
      <c r="J156" s="475">
        <v>1.6E-2</v>
      </c>
    </row>
    <row r="157" spans="1:10" ht="35.049999999999997" customHeight="1" x14ac:dyDescent="0.3">
      <c r="A157" s="398" t="s">
        <v>898</v>
      </c>
      <c r="B157" s="17" t="s">
        <v>480</v>
      </c>
      <c r="C157" s="406">
        <v>0</v>
      </c>
      <c r="D157" s="481">
        <v>0.78900000000000003</v>
      </c>
      <c r="E157" s="478">
        <v>8.2000000000000003E-2</v>
      </c>
      <c r="F157" s="479">
        <v>1.0999999999999999E-2</v>
      </c>
      <c r="G157" s="480">
        <v>2.23</v>
      </c>
      <c r="H157" s="480">
        <v>0.69</v>
      </c>
      <c r="I157" s="485">
        <v>1.1499999999999999</v>
      </c>
      <c r="J157" s="475">
        <v>1.7999999999999999E-2</v>
      </c>
    </row>
    <row r="158" spans="1:10" ht="35.049999999999997" customHeight="1" x14ac:dyDescent="0.3">
      <c r="A158" s="398" t="s">
        <v>899</v>
      </c>
      <c r="B158" s="17" t="s">
        <v>480</v>
      </c>
      <c r="C158" s="406">
        <v>0</v>
      </c>
      <c r="D158" s="481">
        <v>0.78900000000000003</v>
      </c>
      <c r="E158" s="478">
        <v>8.2000000000000003E-2</v>
      </c>
      <c r="F158" s="479">
        <v>1.0999999999999999E-2</v>
      </c>
      <c r="G158" s="480">
        <v>37.89</v>
      </c>
      <c r="H158" s="480">
        <v>0.69</v>
      </c>
      <c r="I158" s="485">
        <v>1.1499999999999999</v>
      </c>
      <c r="J158" s="475">
        <v>1.7999999999999999E-2</v>
      </c>
    </row>
    <row r="159" spans="1:10" ht="35.049999999999997" customHeight="1" x14ac:dyDescent="0.3">
      <c r="A159" s="398" t="s">
        <v>900</v>
      </c>
      <c r="B159" s="17" t="s">
        <v>480</v>
      </c>
      <c r="C159" s="406">
        <v>0</v>
      </c>
      <c r="D159" s="481">
        <v>0.78900000000000003</v>
      </c>
      <c r="E159" s="478">
        <v>8.2000000000000003E-2</v>
      </c>
      <c r="F159" s="479">
        <v>1.0999999999999999E-2</v>
      </c>
      <c r="G159" s="480">
        <v>73.650000000000006</v>
      </c>
      <c r="H159" s="480">
        <v>0.69</v>
      </c>
      <c r="I159" s="485">
        <v>1.1499999999999999</v>
      </c>
      <c r="J159" s="475">
        <v>1.7999999999999999E-2</v>
      </c>
    </row>
    <row r="160" spans="1:10" ht="35.049999999999997" customHeight="1" x14ac:dyDescent="0.3">
      <c r="A160" s="398" t="s">
        <v>901</v>
      </c>
      <c r="B160" s="17" t="s">
        <v>480</v>
      </c>
      <c r="C160" s="406">
        <v>0</v>
      </c>
      <c r="D160" s="481">
        <v>0.78900000000000003</v>
      </c>
      <c r="E160" s="478">
        <v>8.2000000000000003E-2</v>
      </c>
      <c r="F160" s="479">
        <v>1.0999999999999999E-2</v>
      </c>
      <c r="G160" s="480">
        <v>119.08</v>
      </c>
      <c r="H160" s="480">
        <v>0.69</v>
      </c>
      <c r="I160" s="485">
        <v>1.1499999999999999</v>
      </c>
      <c r="J160" s="475">
        <v>1.7999999999999999E-2</v>
      </c>
    </row>
    <row r="161" spans="1:10" ht="35.049999999999997" customHeight="1" x14ac:dyDescent="0.3">
      <c r="A161" s="398" t="s">
        <v>902</v>
      </c>
      <c r="B161" s="17" t="s">
        <v>480</v>
      </c>
      <c r="C161" s="406">
        <v>0</v>
      </c>
      <c r="D161" s="481">
        <v>0.78900000000000003</v>
      </c>
      <c r="E161" s="478">
        <v>8.2000000000000003E-2</v>
      </c>
      <c r="F161" s="479">
        <v>1.0999999999999999E-2</v>
      </c>
      <c r="G161" s="480">
        <v>280.23</v>
      </c>
      <c r="H161" s="480">
        <v>0.69</v>
      </c>
      <c r="I161" s="485">
        <v>1.1499999999999999</v>
      </c>
      <c r="J161" s="475">
        <v>1.7999999999999999E-2</v>
      </c>
    </row>
    <row r="162" spans="1:10" ht="35.049999999999997" customHeight="1" x14ac:dyDescent="0.3">
      <c r="A162" s="398" t="s">
        <v>903</v>
      </c>
      <c r="B162" s="17" t="s">
        <v>480</v>
      </c>
      <c r="C162" s="406">
        <v>0</v>
      </c>
      <c r="D162" s="481">
        <v>0.68799999999999994</v>
      </c>
      <c r="E162" s="478">
        <v>6.9000000000000006E-2</v>
      </c>
      <c r="F162" s="479">
        <v>0.01</v>
      </c>
      <c r="G162" s="480">
        <v>22.58</v>
      </c>
      <c r="H162" s="480">
        <v>0.84</v>
      </c>
      <c r="I162" s="485">
        <v>1.45</v>
      </c>
      <c r="J162" s="475">
        <v>1.4E-2</v>
      </c>
    </row>
    <row r="163" spans="1:10" ht="35.049999999999997" customHeight="1" x14ac:dyDescent="0.3">
      <c r="A163" s="398" t="s">
        <v>904</v>
      </c>
      <c r="B163" s="17" t="s">
        <v>480</v>
      </c>
      <c r="C163" s="406">
        <v>0</v>
      </c>
      <c r="D163" s="481">
        <v>0.68799999999999994</v>
      </c>
      <c r="E163" s="478">
        <v>6.9000000000000006E-2</v>
      </c>
      <c r="F163" s="479">
        <v>0.01</v>
      </c>
      <c r="G163" s="480">
        <v>235.69</v>
      </c>
      <c r="H163" s="480">
        <v>0.84</v>
      </c>
      <c r="I163" s="485">
        <v>1.45</v>
      </c>
      <c r="J163" s="475">
        <v>1.4E-2</v>
      </c>
    </row>
    <row r="164" spans="1:10" ht="35.049999999999997" customHeight="1" x14ac:dyDescent="0.3">
      <c r="A164" s="398" t="s">
        <v>905</v>
      </c>
      <c r="B164" s="17" t="s">
        <v>480</v>
      </c>
      <c r="C164" s="406">
        <v>0</v>
      </c>
      <c r="D164" s="481">
        <v>0.68799999999999994</v>
      </c>
      <c r="E164" s="478">
        <v>6.9000000000000006E-2</v>
      </c>
      <c r="F164" s="479">
        <v>0.01</v>
      </c>
      <c r="G164" s="480">
        <v>805.63</v>
      </c>
      <c r="H164" s="480">
        <v>0.84</v>
      </c>
      <c r="I164" s="485">
        <v>1.45</v>
      </c>
      <c r="J164" s="475">
        <v>1.4E-2</v>
      </c>
    </row>
    <row r="165" spans="1:10" ht="35.049999999999997" customHeight="1" x14ac:dyDescent="0.3">
      <c r="A165" s="398" t="s">
        <v>906</v>
      </c>
      <c r="B165" s="17" t="s">
        <v>480</v>
      </c>
      <c r="C165" s="406">
        <v>0</v>
      </c>
      <c r="D165" s="481">
        <v>0.68799999999999994</v>
      </c>
      <c r="E165" s="478">
        <v>6.9000000000000006E-2</v>
      </c>
      <c r="F165" s="479">
        <v>0.01</v>
      </c>
      <c r="G165" s="480">
        <v>1630.64</v>
      </c>
      <c r="H165" s="480">
        <v>0.84</v>
      </c>
      <c r="I165" s="485">
        <v>1.45</v>
      </c>
      <c r="J165" s="475">
        <v>1.4E-2</v>
      </c>
    </row>
    <row r="166" spans="1:10" ht="35.049999999999997" customHeight="1" x14ac:dyDescent="0.3">
      <c r="A166" s="398" t="s">
        <v>907</v>
      </c>
      <c r="B166" s="17" t="s">
        <v>480</v>
      </c>
      <c r="C166" s="406">
        <v>0</v>
      </c>
      <c r="D166" s="481">
        <v>0.68799999999999994</v>
      </c>
      <c r="E166" s="478">
        <v>6.9000000000000006E-2</v>
      </c>
      <c r="F166" s="479">
        <v>0.01</v>
      </c>
      <c r="G166" s="480">
        <v>3613.66</v>
      </c>
      <c r="H166" s="480">
        <v>0.84</v>
      </c>
      <c r="I166" s="485">
        <v>1.45</v>
      </c>
      <c r="J166" s="475">
        <v>1.4E-2</v>
      </c>
    </row>
    <row r="167" spans="1:10" ht="35.049999999999997" customHeight="1" x14ac:dyDescent="0.3">
      <c r="A167" s="398" t="s">
        <v>593</v>
      </c>
      <c r="B167" s="17" t="s">
        <v>480</v>
      </c>
      <c r="C167" s="406" t="s">
        <v>616</v>
      </c>
      <c r="D167" s="477">
        <v>2.5870000000000002</v>
      </c>
      <c r="E167" s="483">
        <v>0.309</v>
      </c>
      <c r="F167" s="479">
        <v>0.222</v>
      </c>
      <c r="G167" s="476">
        <v>0</v>
      </c>
      <c r="H167" s="476">
        <v>0</v>
      </c>
      <c r="I167" s="516">
        <v>0</v>
      </c>
      <c r="J167" s="482">
        <v>0</v>
      </c>
    </row>
    <row r="168" spans="1:10" ht="35.049999999999997" customHeight="1" x14ac:dyDescent="0.3">
      <c r="A168" s="398" t="s">
        <v>706</v>
      </c>
      <c r="B168" s="17" t="s">
        <v>480</v>
      </c>
      <c r="C168" s="406">
        <v>0</v>
      </c>
      <c r="D168" s="481">
        <v>-1.085</v>
      </c>
      <c r="E168" s="478">
        <v>-0.11899999999999999</v>
      </c>
      <c r="F168" s="479">
        <v>-1.2999999999999999E-2</v>
      </c>
      <c r="G168" s="508">
        <v>0</v>
      </c>
      <c r="H168" s="476">
        <v>0</v>
      </c>
      <c r="I168" s="516">
        <v>0</v>
      </c>
      <c r="J168" s="482">
        <v>0</v>
      </c>
    </row>
    <row r="169" spans="1:10" ht="35.049999999999997" customHeight="1" x14ac:dyDescent="0.3">
      <c r="A169" s="398" t="s">
        <v>707</v>
      </c>
      <c r="B169" s="17" t="s">
        <v>480</v>
      </c>
      <c r="C169" s="406">
        <v>0</v>
      </c>
      <c r="D169" s="481">
        <v>-1.171</v>
      </c>
      <c r="E169" s="478">
        <v>-0.127</v>
      </c>
      <c r="F169" s="479">
        <v>-1.4E-2</v>
      </c>
      <c r="G169" s="508">
        <v>0</v>
      </c>
      <c r="H169" s="476">
        <v>0</v>
      </c>
      <c r="I169" s="516">
        <v>0</v>
      </c>
      <c r="J169" s="482">
        <v>0</v>
      </c>
    </row>
    <row r="170" spans="1:10" ht="35.049999999999997" customHeight="1" x14ac:dyDescent="0.3">
      <c r="A170" s="398" t="s">
        <v>708</v>
      </c>
      <c r="B170" s="17" t="s">
        <v>480</v>
      </c>
      <c r="C170" s="406">
        <v>0</v>
      </c>
      <c r="D170" s="481">
        <v>-1.085</v>
      </c>
      <c r="E170" s="478">
        <v>-0.11899999999999999</v>
      </c>
      <c r="F170" s="479">
        <v>-1.2999999999999999E-2</v>
      </c>
      <c r="G170" s="508">
        <v>0</v>
      </c>
      <c r="H170" s="476">
        <v>0</v>
      </c>
      <c r="I170" s="516">
        <v>0</v>
      </c>
      <c r="J170" s="475">
        <v>2.8000000000000001E-2</v>
      </c>
    </row>
    <row r="171" spans="1:10" ht="35.049999999999997" customHeight="1" x14ac:dyDescent="0.3">
      <c r="A171" s="398" t="s">
        <v>709</v>
      </c>
      <c r="B171" s="17" t="s">
        <v>480</v>
      </c>
      <c r="C171" s="406">
        <v>0</v>
      </c>
      <c r="D171" s="481">
        <v>-1.171</v>
      </c>
      <c r="E171" s="478">
        <v>-0.127</v>
      </c>
      <c r="F171" s="479">
        <v>-1.4E-2</v>
      </c>
      <c r="G171" s="508">
        <v>0</v>
      </c>
      <c r="H171" s="476">
        <v>0</v>
      </c>
      <c r="I171" s="516">
        <v>0</v>
      </c>
      <c r="J171" s="475">
        <v>2.7E-2</v>
      </c>
    </row>
    <row r="172" spans="1:10" ht="35.049999999999997" customHeight="1" x14ac:dyDescent="0.3">
      <c r="A172" s="398" t="s">
        <v>710</v>
      </c>
      <c r="B172" s="17" t="s">
        <v>480</v>
      </c>
      <c r="C172" s="406">
        <v>0</v>
      </c>
      <c r="D172" s="481">
        <v>-1.647</v>
      </c>
      <c r="E172" s="478">
        <v>-0.16900000000000001</v>
      </c>
      <c r="F172" s="479">
        <v>-2.4E-2</v>
      </c>
      <c r="G172" s="480">
        <v>30.65</v>
      </c>
      <c r="H172" s="476">
        <v>0</v>
      </c>
      <c r="I172" s="516">
        <v>0</v>
      </c>
      <c r="J172" s="475">
        <v>4.9000000000000002E-2</v>
      </c>
    </row>
    <row r="173" spans="1:10" ht="35.049999999999997" customHeight="1" x14ac:dyDescent="0.3">
      <c r="A173" s="398" t="s">
        <v>908</v>
      </c>
      <c r="B173" s="17" t="s">
        <v>480</v>
      </c>
      <c r="C173" s="406" t="s">
        <v>574</v>
      </c>
      <c r="D173" s="481">
        <v>0.313</v>
      </c>
      <c r="E173" s="478">
        <v>3.4000000000000002E-2</v>
      </c>
      <c r="F173" s="479">
        <v>4.0000000000000001E-3</v>
      </c>
      <c r="G173" s="480">
        <v>0.69</v>
      </c>
      <c r="H173" s="476">
        <v>0</v>
      </c>
      <c r="I173" s="516">
        <v>0</v>
      </c>
      <c r="J173" s="482">
        <v>0</v>
      </c>
    </row>
    <row r="174" spans="1:10" ht="35.049999999999997" customHeight="1" x14ac:dyDescent="0.3">
      <c r="A174" s="398" t="s">
        <v>909</v>
      </c>
      <c r="B174" s="17" t="s">
        <v>480</v>
      </c>
      <c r="C174" s="406" t="s">
        <v>575</v>
      </c>
      <c r="D174" s="481">
        <v>0.313</v>
      </c>
      <c r="E174" s="478">
        <v>3.4000000000000002E-2</v>
      </c>
      <c r="F174" s="479">
        <v>4.0000000000000001E-3</v>
      </c>
      <c r="G174" s="476">
        <v>0</v>
      </c>
      <c r="H174" s="476">
        <v>0</v>
      </c>
      <c r="I174" s="516">
        <v>0</v>
      </c>
      <c r="J174" s="482">
        <v>0</v>
      </c>
    </row>
    <row r="175" spans="1:10" ht="35.049999999999997" customHeight="1" x14ac:dyDescent="0.3">
      <c r="A175" s="398" t="s">
        <v>910</v>
      </c>
      <c r="B175" s="17" t="s">
        <v>480</v>
      </c>
      <c r="C175" s="406" t="s">
        <v>930</v>
      </c>
      <c r="D175" s="481">
        <v>0.28299999999999997</v>
      </c>
      <c r="E175" s="478">
        <v>3.1E-2</v>
      </c>
      <c r="F175" s="479">
        <v>3.0000000000000001E-3</v>
      </c>
      <c r="G175" s="480">
        <v>0.52</v>
      </c>
      <c r="H175" s="476">
        <v>0</v>
      </c>
      <c r="I175" s="516">
        <v>0</v>
      </c>
      <c r="J175" s="482">
        <v>0</v>
      </c>
    </row>
    <row r="176" spans="1:10" ht="35.049999999999997" customHeight="1" x14ac:dyDescent="0.3">
      <c r="A176" s="398" t="s">
        <v>911</v>
      </c>
      <c r="B176" s="17" t="s">
        <v>480</v>
      </c>
      <c r="C176" s="406" t="s">
        <v>930</v>
      </c>
      <c r="D176" s="481">
        <v>0.28299999999999997</v>
      </c>
      <c r="E176" s="478">
        <v>3.1E-2</v>
      </c>
      <c r="F176" s="479">
        <v>3.0000000000000001E-3</v>
      </c>
      <c r="G176" s="480">
        <v>0.63</v>
      </c>
      <c r="H176" s="476">
        <v>0</v>
      </c>
      <c r="I176" s="516">
        <v>0</v>
      </c>
      <c r="J176" s="482">
        <v>0</v>
      </c>
    </row>
    <row r="177" spans="1:10" ht="35.049999999999997" customHeight="1" x14ac:dyDescent="0.3">
      <c r="A177" s="398" t="s">
        <v>912</v>
      </c>
      <c r="B177" s="17" t="s">
        <v>480</v>
      </c>
      <c r="C177" s="406" t="s">
        <v>930</v>
      </c>
      <c r="D177" s="481">
        <v>0.28299999999999997</v>
      </c>
      <c r="E177" s="478">
        <v>3.1E-2</v>
      </c>
      <c r="F177" s="479">
        <v>3.0000000000000001E-3</v>
      </c>
      <c r="G177" s="480">
        <v>1.07</v>
      </c>
      <c r="H177" s="476">
        <v>0</v>
      </c>
      <c r="I177" s="516">
        <v>0</v>
      </c>
      <c r="J177" s="482">
        <v>0</v>
      </c>
    </row>
    <row r="178" spans="1:10" ht="35.049999999999997" customHeight="1" x14ac:dyDescent="0.3">
      <c r="A178" s="398" t="s">
        <v>913</v>
      </c>
      <c r="B178" s="17" t="s">
        <v>480</v>
      </c>
      <c r="C178" s="406" t="s">
        <v>930</v>
      </c>
      <c r="D178" s="481">
        <v>0.28299999999999997</v>
      </c>
      <c r="E178" s="478">
        <v>3.1E-2</v>
      </c>
      <c r="F178" s="479">
        <v>3.0000000000000001E-3</v>
      </c>
      <c r="G178" s="480">
        <v>1.86</v>
      </c>
      <c r="H178" s="476">
        <v>0</v>
      </c>
      <c r="I178" s="516">
        <v>0</v>
      </c>
      <c r="J178" s="482">
        <v>0</v>
      </c>
    </row>
    <row r="179" spans="1:10" ht="35.049999999999997" customHeight="1" x14ac:dyDescent="0.3">
      <c r="A179" s="398" t="s">
        <v>914</v>
      </c>
      <c r="B179" s="17" t="s">
        <v>480</v>
      </c>
      <c r="C179" s="406" t="s">
        <v>930</v>
      </c>
      <c r="D179" s="481">
        <v>0.28299999999999997</v>
      </c>
      <c r="E179" s="478">
        <v>3.1E-2</v>
      </c>
      <c r="F179" s="479">
        <v>3.0000000000000001E-3</v>
      </c>
      <c r="G179" s="480">
        <v>4.8</v>
      </c>
      <c r="H179" s="476">
        <v>0</v>
      </c>
      <c r="I179" s="516">
        <v>0</v>
      </c>
      <c r="J179" s="482">
        <v>0</v>
      </c>
    </row>
    <row r="180" spans="1:10" ht="35.049999999999997" customHeight="1" x14ac:dyDescent="0.3">
      <c r="A180" s="398" t="s">
        <v>594</v>
      </c>
      <c r="B180" s="17" t="s">
        <v>480</v>
      </c>
      <c r="C180" s="406" t="s">
        <v>577</v>
      </c>
      <c r="D180" s="481">
        <v>0.28299999999999997</v>
      </c>
      <c r="E180" s="478">
        <v>3.1E-2</v>
      </c>
      <c r="F180" s="479">
        <v>3.0000000000000001E-3</v>
      </c>
      <c r="G180" s="476">
        <v>0</v>
      </c>
      <c r="H180" s="476">
        <v>0</v>
      </c>
      <c r="I180" s="516">
        <v>0</v>
      </c>
      <c r="J180" s="482">
        <v>0</v>
      </c>
    </row>
    <row r="181" spans="1:10" ht="35.049999999999997" customHeight="1" x14ac:dyDescent="0.3">
      <c r="A181" s="398" t="s">
        <v>915</v>
      </c>
      <c r="B181" s="17" t="s">
        <v>480</v>
      </c>
      <c r="C181" s="406">
        <v>0</v>
      </c>
      <c r="D181" s="481">
        <v>0.216</v>
      </c>
      <c r="E181" s="478">
        <v>2.3E-2</v>
      </c>
      <c r="F181" s="479">
        <v>3.0000000000000001E-3</v>
      </c>
      <c r="G181" s="480">
        <v>0.69</v>
      </c>
      <c r="H181" s="480">
        <v>0.13</v>
      </c>
      <c r="I181" s="485">
        <v>0.24</v>
      </c>
      <c r="J181" s="475">
        <v>5.0000000000000001E-3</v>
      </c>
    </row>
    <row r="182" spans="1:10" ht="35.049999999999997" customHeight="1" x14ac:dyDescent="0.3">
      <c r="A182" s="398" t="s">
        <v>916</v>
      </c>
      <c r="B182" s="17" t="s">
        <v>480</v>
      </c>
      <c r="C182" s="406">
        <v>0</v>
      </c>
      <c r="D182" s="481">
        <v>0.216</v>
      </c>
      <c r="E182" s="478">
        <v>2.3E-2</v>
      </c>
      <c r="F182" s="479">
        <v>3.0000000000000001E-3</v>
      </c>
      <c r="G182" s="480">
        <v>7.56</v>
      </c>
      <c r="H182" s="480">
        <v>0.13</v>
      </c>
      <c r="I182" s="485">
        <v>0.24</v>
      </c>
      <c r="J182" s="475">
        <v>5.0000000000000001E-3</v>
      </c>
    </row>
    <row r="183" spans="1:10" ht="35.049999999999997" customHeight="1" x14ac:dyDescent="0.3">
      <c r="A183" s="398" t="s">
        <v>917</v>
      </c>
      <c r="B183" s="17" t="s">
        <v>480</v>
      </c>
      <c r="C183" s="406">
        <v>0</v>
      </c>
      <c r="D183" s="481">
        <v>0.216</v>
      </c>
      <c r="E183" s="478">
        <v>2.3E-2</v>
      </c>
      <c r="F183" s="479">
        <v>3.0000000000000001E-3</v>
      </c>
      <c r="G183" s="480">
        <v>14.45</v>
      </c>
      <c r="H183" s="480">
        <v>0.13</v>
      </c>
      <c r="I183" s="485">
        <v>0.24</v>
      </c>
      <c r="J183" s="475">
        <v>5.0000000000000001E-3</v>
      </c>
    </row>
    <row r="184" spans="1:10" ht="35.049999999999997" customHeight="1" x14ac:dyDescent="0.3">
      <c r="A184" s="398" t="s">
        <v>918</v>
      </c>
      <c r="B184" s="17" t="s">
        <v>480</v>
      </c>
      <c r="C184" s="406">
        <v>0</v>
      </c>
      <c r="D184" s="481">
        <v>0.216</v>
      </c>
      <c r="E184" s="478">
        <v>2.3E-2</v>
      </c>
      <c r="F184" s="479">
        <v>3.0000000000000001E-3</v>
      </c>
      <c r="G184" s="480">
        <v>23.2</v>
      </c>
      <c r="H184" s="480">
        <v>0.13</v>
      </c>
      <c r="I184" s="485">
        <v>0.24</v>
      </c>
      <c r="J184" s="475">
        <v>5.0000000000000001E-3</v>
      </c>
    </row>
    <row r="185" spans="1:10" ht="35.049999999999997" customHeight="1" x14ac:dyDescent="0.3">
      <c r="A185" s="398" t="s">
        <v>919</v>
      </c>
      <c r="B185" s="17" t="s">
        <v>480</v>
      </c>
      <c r="C185" s="406">
        <v>0</v>
      </c>
      <c r="D185" s="481">
        <v>0.216</v>
      </c>
      <c r="E185" s="478">
        <v>2.3E-2</v>
      </c>
      <c r="F185" s="479">
        <v>3.0000000000000001E-3</v>
      </c>
      <c r="G185" s="480">
        <v>54.24</v>
      </c>
      <c r="H185" s="480">
        <v>0.13</v>
      </c>
      <c r="I185" s="485">
        <v>0.24</v>
      </c>
      <c r="J185" s="475">
        <v>5.0000000000000001E-3</v>
      </c>
    </row>
    <row r="186" spans="1:10" ht="35.049999999999997" customHeight="1" x14ac:dyDescent="0.3">
      <c r="A186" s="398" t="s">
        <v>920</v>
      </c>
      <c r="B186" s="17" t="s">
        <v>480</v>
      </c>
      <c r="C186" s="406">
        <v>0</v>
      </c>
      <c r="D186" s="481">
        <v>0.22900000000000001</v>
      </c>
      <c r="E186" s="478">
        <v>2.4E-2</v>
      </c>
      <c r="F186" s="479">
        <v>3.0000000000000001E-3</v>
      </c>
      <c r="G186" s="480">
        <v>0.78</v>
      </c>
      <c r="H186" s="480">
        <v>0.2</v>
      </c>
      <c r="I186" s="485">
        <v>0.33</v>
      </c>
      <c r="J186" s="475">
        <v>5.0000000000000001E-3</v>
      </c>
    </row>
    <row r="187" spans="1:10" ht="35.049999999999997" customHeight="1" x14ac:dyDescent="0.3">
      <c r="A187" s="398" t="s">
        <v>921</v>
      </c>
      <c r="B187" s="17" t="s">
        <v>480</v>
      </c>
      <c r="C187" s="406">
        <v>0</v>
      </c>
      <c r="D187" s="481">
        <v>0.22900000000000001</v>
      </c>
      <c r="E187" s="478">
        <v>2.4E-2</v>
      </c>
      <c r="F187" s="479">
        <v>3.0000000000000001E-3</v>
      </c>
      <c r="G187" s="480">
        <v>11.14</v>
      </c>
      <c r="H187" s="480">
        <v>0.2</v>
      </c>
      <c r="I187" s="485">
        <v>0.33</v>
      </c>
      <c r="J187" s="475">
        <v>5.0000000000000001E-3</v>
      </c>
    </row>
    <row r="188" spans="1:10" ht="35.049999999999997" customHeight="1" x14ac:dyDescent="0.3">
      <c r="A188" s="398" t="s">
        <v>922</v>
      </c>
      <c r="B188" s="17" t="s">
        <v>480</v>
      </c>
      <c r="C188" s="406">
        <v>0</v>
      </c>
      <c r="D188" s="481">
        <v>0.22900000000000001</v>
      </c>
      <c r="E188" s="478">
        <v>2.4E-2</v>
      </c>
      <c r="F188" s="479">
        <v>3.0000000000000001E-3</v>
      </c>
      <c r="G188" s="480">
        <v>21.53</v>
      </c>
      <c r="H188" s="480">
        <v>0.2</v>
      </c>
      <c r="I188" s="485">
        <v>0.33</v>
      </c>
      <c r="J188" s="475">
        <v>5.0000000000000001E-3</v>
      </c>
    </row>
    <row r="189" spans="1:10" ht="35.049999999999997" customHeight="1" x14ac:dyDescent="0.3">
      <c r="A189" s="398" t="s">
        <v>923</v>
      </c>
      <c r="B189" s="17" t="s">
        <v>480</v>
      </c>
      <c r="C189" s="406">
        <v>0</v>
      </c>
      <c r="D189" s="481">
        <v>0.22900000000000001</v>
      </c>
      <c r="E189" s="478">
        <v>2.4E-2</v>
      </c>
      <c r="F189" s="479">
        <v>3.0000000000000001E-3</v>
      </c>
      <c r="G189" s="480">
        <v>34.72</v>
      </c>
      <c r="H189" s="480">
        <v>0.2</v>
      </c>
      <c r="I189" s="485">
        <v>0.33</v>
      </c>
      <c r="J189" s="475">
        <v>5.0000000000000001E-3</v>
      </c>
    </row>
    <row r="190" spans="1:10" ht="35.049999999999997" customHeight="1" x14ac:dyDescent="0.3">
      <c r="A190" s="398" t="s">
        <v>924</v>
      </c>
      <c r="B190" s="17" t="s">
        <v>480</v>
      </c>
      <c r="C190" s="406">
        <v>0</v>
      </c>
      <c r="D190" s="481">
        <v>0.22900000000000001</v>
      </c>
      <c r="E190" s="478">
        <v>2.4E-2</v>
      </c>
      <c r="F190" s="479">
        <v>3.0000000000000001E-3</v>
      </c>
      <c r="G190" s="480">
        <v>81.540000000000006</v>
      </c>
      <c r="H190" s="480">
        <v>0.2</v>
      </c>
      <c r="I190" s="485">
        <v>0.33</v>
      </c>
      <c r="J190" s="475">
        <v>5.0000000000000001E-3</v>
      </c>
    </row>
    <row r="191" spans="1:10" ht="35.049999999999997" customHeight="1" x14ac:dyDescent="0.3">
      <c r="A191" s="398" t="s">
        <v>925</v>
      </c>
      <c r="B191" s="17" t="s">
        <v>480</v>
      </c>
      <c r="C191" s="406">
        <v>0</v>
      </c>
      <c r="D191" s="481">
        <v>0.2</v>
      </c>
      <c r="E191" s="478">
        <v>0.02</v>
      </c>
      <c r="F191" s="479">
        <v>3.0000000000000001E-3</v>
      </c>
      <c r="G191" s="480">
        <v>6.69</v>
      </c>
      <c r="H191" s="480">
        <v>0.24</v>
      </c>
      <c r="I191" s="485">
        <v>0.42</v>
      </c>
      <c r="J191" s="475">
        <v>4.0000000000000001E-3</v>
      </c>
    </row>
    <row r="192" spans="1:10" ht="35.049999999999997" customHeight="1" x14ac:dyDescent="0.3">
      <c r="A192" s="398" t="s">
        <v>926</v>
      </c>
      <c r="B192" s="17" t="s">
        <v>480</v>
      </c>
      <c r="C192" s="406">
        <v>0</v>
      </c>
      <c r="D192" s="481">
        <v>0.2</v>
      </c>
      <c r="E192" s="478">
        <v>0.02</v>
      </c>
      <c r="F192" s="479">
        <v>3.0000000000000001E-3</v>
      </c>
      <c r="G192" s="480">
        <v>68.599999999999994</v>
      </c>
      <c r="H192" s="480">
        <v>0.24</v>
      </c>
      <c r="I192" s="485">
        <v>0.42</v>
      </c>
      <c r="J192" s="475">
        <v>4.0000000000000001E-3</v>
      </c>
    </row>
    <row r="193" spans="1:10" ht="35.049999999999997" customHeight="1" x14ac:dyDescent="0.3">
      <c r="A193" s="398" t="s">
        <v>927</v>
      </c>
      <c r="B193" s="17" t="s">
        <v>480</v>
      </c>
      <c r="C193" s="406">
        <v>0</v>
      </c>
      <c r="D193" s="481">
        <v>0.2</v>
      </c>
      <c r="E193" s="478">
        <v>0.02</v>
      </c>
      <c r="F193" s="479">
        <v>3.0000000000000001E-3</v>
      </c>
      <c r="G193" s="480">
        <v>234.17</v>
      </c>
      <c r="H193" s="480">
        <v>0.24</v>
      </c>
      <c r="I193" s="485">
        <v>0.42</v>
      </c>
      <c r="J193" s="475">
        <v>4.0000000000000001E-3</v>
      </c>
    </row>
    <row r="194" spans="1:10" ht="35.049999999999997" customHeight="1" x14ac:dyDescent="0.3">
      <c r="A194" s="398" t="s">
        <v>928</v>
      </c>
      <c r="B194" s="17" t="s">
        <v>480</v>
      </c>
      <c r="C194" s="406">
        <v>0</v>
      </c>
      <c r="D194" s="481">
        <v>0.2</v>
      </c>
      <c r="E194" s="478">
        <v>0.02</v>
      </c>
      <c r="F194" s="479">
        <v>3.0000000000000001E-3</v>
      </c>
      <c r="G194" s="480">
        <v>473.84</v>
      </c>
      <c r="H194" s="480">
        <v>0.24</v>
      </c>
      <c r="I194" s="485">
        <v>0.42</v>
      </c>
      <c r="J194" s="475">
        <v>4.0000000000000001E-3</v>
      </c>
    </row>
    <row r="195" spans="1:10" ht="35.049999999999997" customHeight="1" x14ac:dyDescent="0.3">
      <c r="A195" s="398" t="s">
        <v>929</v>
      </c>
      <c r="B195" s="17" t="s">
        <v>480</v>
      </c>
      <c r="C195" s="406">
        <v>0</v>
      </c>
      <c r="D195" s="481">
        <v>0.2</v>
      </c>
      <c r="E195" s="478">
        <v>0.02</v>
      </c>
      <c r="F195" s="479">
        <v>3.0000000000000001E-3</v>
      </c>
      <c r="G195" s="480">
        <v>1049.9100000000001</v>
      </c>
      <c r="H195" s="480">
        <v>0.24</v>
      </c>
      <c r="I195" s="485">
        <v>0.42</v>
      </c>
      <c r="J195" s="475">
        <v>4.0000000000000001E-3</v>
      </c>
    </row>
    <row r="196" spans="1:10" ht="35.049999999999997" customHeight="1" x14ac:dyDescent="0.3">
      <c r="A196" s="398" t="s">
        <v>595</v>
      </c>
      <c r="B196" s="17" t="s">
        <v>480</v>
      </c>
      <c r="C196" s="406" t="s">
        <v>616</v>
      </c>
      <c r="D196" s="477">
        <v>0.752</v>
      </c>
      <c r="E196" s="483">
        <v>0.09</v>
      </c>
      <c r="F196" s="479">
        <v>6.5000000000000002E-2</v>
      </c>
      <c r="G196" s="476">
        <v>0</v>
      </c>
      <c r="H196" s="476">
        <v>0</v>
      </c>
      <c r="I196" s="516">
        <v>0</v>
      </c>
      <c r="J196" s="482">
        <v>0</v>
      </c>
    </row>
    <row r="197" spans="1:10" ht="35.049999999999997" customHeight="1" x14ac:dyDescent="0.3">
      <c r="A197" s="398" t="s">
        <v>711</v>
      </c>
      <c r="B197" s="17" t="s">
        <v>480</v>
      </c>
      <c r="C197" s="406">
        <v>0</v>
      </c>
      <c r="D197" s="481">
        <v>-0.315</v>
      </c>
      <c r="E197" s="478">
        <v>-3.5000000000000003E-2</v>
      </c>
      <c r="F197" s="479">
        <v>-4.0000000000000001E-3</v>
      </c>
      <c r="G197" s="508">
        <v>0</v>
      </c>
      <c r="H197" s="476">
        <v>0</v>
      </c>
      <c r="I197" s="516">
        <v>0</v>
      </c>
      <c r="J197" s="482">
        <v>0</v>
      </c>
    </row>
    <row r="198" spans="1:10" ht="35.049999999999997" customHeight="1" x14ac:dyDescent="0.3">
      <c r="A198" s="398" t="s">
        <v>712</v>
      </c>
      <c r="B198" s="17" t="s">
        <v>480</v>
      </c>
      <c r="C198" s="406">
        <v>0</v>
      </c>
      <c r="D198" s="481">
        <v>-0.34</v>
      </c>
      <c r="E198" s="478">
        <v>-3.6999999999999998E-2</v>
      </c>
      <c r="F198" s="479">
        <v>-4.0000000000000001E-3</v>
      </c>
      <c r="G198" s="508">
        <v>0</v>
      </c>
      <c r="H198" s="476">
        <v>0</v>
      </c>
      <c r="I198" s="516">
        <v>0</v>
      </c>
      <c r="J198" s="482">
        <v>0</v>
      </c>
    </row>
    <row r="199" spans="1:10" ht="35.049999999999997" customHeight="1" x14ac:dyDescent="0.3">
      <c r="A199" s="398" t="s">
        <v>713</v>
      </c>
      <c r="B199" s="17" t="s">
        <v>480</v>
      </c>
      <c r="C199" s="406">
        <v>0</v>
      </c>
      <c r="D199" s="481">
        <v>-0.315</v>
      </c>
      <c r="E199" s="478">
        <v>-3.5000000000000003E-2</v>
      </c>
      <c r="F199" s="479">
        <v>-4.0000000000000001E-3</v>
      </c>
      <c r="G199" s="508">
        <v>0</v>
      </c>
      <c r="H199" s="476">
        <v>0</v>
      </c>
      <c r="I199" s="516">
        <v>0</v>
      </c>
      <c r="J199" s="475">
        <v>8.0000000000000002E-3</v>
      </c>
    </row>
    <row r="200" spans="1:10" ht="35.049999999999997" customHeight="1" x14ac:dyDescent="0.3">
      <c r="A200" s="398" t="s">
        <v>714</v>
      </c>
      <c r="B200" s="17" t="s">
        <v>480</v>
      </c>
      <c r="C200" s="406">
        <v>0</v>
      </c>
      <c r="D200" s="481">
        <v>-0.34</v>
      </c>
      <c r="E200" s="478">
        <v>-3.6999999999999998E-2</v>
      </c>
      <c r="F200" s="479">
        <v>-4.0000000000000001E-3</v>
      </c>
      <c r="G200" s="508">
        <v>0</v>
      </c>
      <c r="H200" s="476">
        <v>0</v>
      </c>
      <c r="I200" s="516">
        <v>0</v>
      </c>
      <c r="J200" s="475">
        <v>8.0000000000000002E-3</v>
      </c>
    </row>
    <row r="201" spans="1:10" ht="35.049999999999997" customHeight="1" x14ac:dyDescent="0.3">
      <c r="A201" s="398" t="s">
        <v>715</v>
      </c>
      <c r="B201" s="17" t="s">
        <v>480</v>
      </c>
      <c r="C201" s="406">
        <v>0</v>
      </c>
      <c r="D201" s="481">
        <v>-0.47799999999999998</v>
      </c>
      <c r="E201" s="478">
        <v>-4.9000000000000002E-2</v>
      </c>
      <c r="F201" s="479">
        <v>-7.0000000000000001E-3</v>
      </c>
      <c r="G201" s="480">
        <v>8.9</v>
      </c>
      <c r="H201" s="476">
        <v>0</v>
      </c>
      <c r="I201" s="516">
        <v>0</v>
      </c>
      <c r="J201" s="475">
        <v>1.4E-2</v>
      </c>
    </row>
  </sheetData>
  <mergeCells count="12">
    <mergeCell ref="B10:D10"/>
    <mergeCell ref="F10:G10"/>
    <mergeCell ref="H9:J9"/>
    <mergeCell ref="F5:G5"/>
    <mergeCell ref="A2:J2"/>
    <mergeCell ref="A4:D4"/>
    <mergeCell ref="F4:J4"/>
    <mergeCell ref="F6:G6"/>
    <mergeCell ref="F7:G7"/>
    <mergeCell ref="B8:D8"/>
    <mergeCell ref="F8:G8"/>
    <mergeCell ref="F9:G9"/>
  </mergeCells>
  <hyperlinks>
    <hyperlink ref="A1" location="Overview!A1" display="Back to Overview" xr:uid="{00000000-0004-0000-16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pageSetUpPr fitToPage="1"/>
  </sheetPr>
  <dimension ref="A1:N201"/>
  <sheetViews>
    <sheetView zoomScale="50" zoomScaleNormal="50" workbookViewId="0">
      <selection activeCell="D9" sqref="D9"/>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0" t="s">
        <v>19</v>
      </c>
      <c r="B1" s="45"/>
      <c r="C1" s="45"/>
      <c r="D1" s="45"/>
      <c r="F1" s="45"/>
      <c r="G1" s="45"/>
      <c r="H1" s="45"/>
      <c r="I1" s="3"/>
      <c r="J1" s="1"/>
      <c r="K1" s="1"/>
    </row>
    <row r="2" spans="1:14" ht="40" customHeight="1" x14ac:dyDescent="0.3">
      <c r="A2" s="612" t="str">
        <f>Overview!B4&amp;" - Effective from "&amp;Overview!D4&amp;" - Final LDNO tariffs in WPD South West Area (GSP Group_L)"</f>
        <v>Indigo Power Limited - Effective from 1 April 2023 - Final LDNO tariffs in WPD South West Area (GSP Group_L)</v>
      </c>
      <c r="B2" s="612"/>
      <c r="C2" s="612"/>
      <c r="D2" s="612"/>
      <c r="E2" s="612"/>
      <c r="F2" s="612"/>
      <c r="G2" s="612"/>
      <c r="H2" s="612"/>
      <c r="I2" s="612"/>
      <c r="J2" s="612"/>
    </row>
    <row r="3" spans="1:14" ht="40" customHeight="1" x14ac:dyDescent="0.3">
      <c r="A3" s="48"/>
      <c r="B3" s="48"/>
      <c r="C3" s="48"/>
      <c r="D3" s="48"/>
      <c r="E3" s="48"/>
      <c r="F3" s="48"/>
      <c r="G3" s="48"/>
      <c r="H3" s="48"/>
      <c r="I3" s="48"/>
      <c r="J3" s="48"/>
      <c r="L3" s="3"/>
    </row>
    <row r="4" spans="1:14" ht="40" customHeight="1" x14ac:dyDescent="0.3">
      <c r="A4" s="552" t="s">
        <v>308</v>
      </c>
      <c r="B4" s="552"/>
      <c r="C4" s="552"/>
      <c r="D4" s="552"/>
      <c r="E4" s="52"/>
      <c r="F4" s="552" t="s">
        <v>307</v>
      </c>
      <c r="G4" s="552"/>
      <c r="H4" s="552"/>
      <c r="I4" s="552"/>
      <c r="J4" s="552"/>
      <c r="L4" s="3"/>
      <c r="M4" s="3"/>
    </row>
    <row r="5" spans="1:14" ht="40" customHeight="1" x14ac:dyDescent="0.3">
      <c r="A5" s="468" t="s">
        <v>13</v>
      </c>
      <c r="B5" s="281" t="s">
        <v>299</v>
      </c>
      <c r="C5" s="286" t="s">
        <v>300</v>
      </c>
      <c r="D5" s="42" t="s">
        <v>301</v>
      </c>
      <c r="E5" s="45"/>
      <c r="F5" s="549"/>
      <c r="G5" s="550"/>
      <c r="H5" s="43" t="s">
        <v>305</v>
      </c>
      <c r="I5" s="44" t="s">
        <v>306</v>
      </c>
      <c r="J5" s="42" t="s">
        <v>301</v>
      </c>
      <c r="K5" s="45"/>
      <c r="L5" s="45"/>
      <c r="M5" s="3"/>
      <c r="N5" s="3"/>
    </row>
    <row r="6" spans="1:14" ht="40" customHeight="1" x14ac:dyDescent="0.3">
      <c r="A6" s="105" t="str">
        <f>'Annex 1 LV and HV charges_L'!A6</f>
        <v xml:space="preserve">Monday to Friday </v>
      </c>
      <c r="B6" s="95" t="str">
        <f>'Annex 1 LV and HV charges_L'!B6</f>
        <v>17.00 - 19.00</v>
      </c>
      <c r="C6" s="276" t="str">
        <f>'Annex 1 LV and HV charges_L'!C6</f>
        <v>07:30 to 17:00
19:00 to 21:30</v>
      </c>
      <c r="D6" s="96" t="str">
        <f>'Annex 1 LV and HV charges_L'!E6</f>
        <v>00:00 to 07:30
21:30 to 24:00</v>
      </c>
      <c r="E6" s="45"/>
      <c r="F6" s="584" t="str">
        <f>'Annex 1 LV and HV charges_L'!G6</f>
        <v>Monday to Friday Nov to Feb (excluding 22nd Dec to 4th Jan inclusive)</v>
      </c>
      <c r="G6" s="584" t="str">
        <f>'Annex 1 LV and HV charges_L'!H6</f>
        <v/>
      </c>
      <c r="H6" s="95" t="str">
        <f>'Annex 1 LV and HV charges_L'!I6</f>
        <v>17:00 to 19:00</v>
      </c>
      <c r="I6" s="97" t="str">
        <f>'Annex 1 LV and HV charges_L'!J6</f>
        <v>07:30 to 17:00
19:00 to 21:30</v>
      </c>
      <c r="J6" s="97" t="str">
        <f>'Annex 1 LV and HV charges_L'!K6</f>
        <v>00:00 to 07:30
21:30 to 24:00</v>
      </c>
      <c r="K6" s="45"/>
      <c r="L6" s="45"/>
      <c r="M6" s="3"/>
      <c r="N6" s="3"/>
    </row>
    <row r="7" spans="1:14" ht="40" customHeight="1" x14ac:dyDescent="0.3">
      <c r="A7" s="105" t="str">
        <f>'Annex 1 LV and HV charges_L'!A7</f>
        <v>Weekends</v>
      </c>
      <c r="B7" s="98" t="str">
        <f>'Annex 1 LV and HV charges_L'!B7</f>
        <v/>
      </c>
      <c r="C7" s="280" t="str">
        <f>'Annex 1 LV and HV charges_L'!C7</f>
        <v>16:30 to 19:30</v>
      </c>
      <c r="D7" s="97" t="str">
        <f>'Annex 1 LV and HV charges_L'!E7</f>
        <v>00:00 to 16:30
19:30 to 24:00</v>
      </c>
      <c r="E7" s="45"/>
      <c r="F7" s="584" t="str">
        <f>'Annex 1 LV and HV charges_L'!G7</f>
        <v>Monday to Friday Mar to Oct (plus 22nd Dec to 4th Jan inclusive)</v>
      </c>
      <c r="G7" s="584" t="str">
        <f>'Annex 1 LV and HV charges_L'!H7</f>
        <v/>
      </c>
      <c r="H7" s="98" t="str">
        <f>'Annex 1 LV and HV charges_L'!I7</f>
        <v/>
      </c>
      <c r="I7" s="97" t="str">
        <f>'Annex 1 LV and HV charges_L'!J7</f>
        <v>07:30 to 21:30</v>
      </c>
      <c r="J7" s="97" t="str">
        <f>'Annex 1 LV and HV charges_L'!K7</f>
        <v>00:00 to 07:30
21:30 to 24:00</v>
      </c>
      <c r="K7" s="45"/>
      <c r="L7" s="45"/>
      <c r="M7" s="3"/>
      <c r="N7" s="3"/>
    </row>
    <row r="8" spans="1:14" ht="40" customHeight="1" x14ac:dyDescent="0.3">
      <c r="A8" s="465" t="str">
        <f>'Annex 1 LV and HV charges_L'!A8</f>
        <v>Notes</v>
      </c>
      <c r="B8" s="569" t="str">
        <f>'Annex 1 LV and HV charges_L'!B8</f>
        <v>All the above times are in UK Clock time</v>
      </c>
      <c r="C8" s="569" t="str">
        <f>'Annex 1 LV and HV charges_L'!C8</f>
        <v/>
      </c>
      <c r="D8" s="569" t="str">
        <f>'Annex 1 LV and HV charges_L'!D8</f>
        <v/>
      </c>
      <c r="E8" s="45"/>
      <c r="F8" s="584" t="str">
        <f>'Annex 1 LV and HV charges_L'!G8</f>
        <v>Weekends</v>
      </c>
      <c r="G8" s="584" t="str">
        <f>'Annex 1 LV and HV charges_L'!H8</f>
        <v/>
      </c>
      <c r="H8" s="98" t="str">
        <f>'Annex 1 LV and HV charges_L'!I8</f>
        <v/>
      </c>
      <c r="I8" s="97" t="str">
        <f>'Annex 1 LV and HV charges_L'!J8</f>
        <v>16:30 to 19:30</v>
      </c>
      <c r="J8" s="97" t="str">
        <f>'Annex 1 LV and HV charges_L'!K8</f>
        <v>00:00 to 16:30
19:30 to 24:00</v>
      </c>
      <c r="K8" s="45"/>
      <c r="L8" s="45"/>
      <c r="M8" s="3"/>
      <c r="N8" s="3"/>
    </row>
    <row r="9" spans="1:14" s="41" customFormat="1" ht="40" customHeight="1" x14ac:dyDescent="0.3">
      <c r="A9" s="185"/>
      <c r="B9" s="278"/>
      <c r="C9" s="186"/>
      <c r="D9" s="522" t="s">
        <v>480</v>
      </c>
      <c r="E9" s="49"/>
      <c r="F9" s="569" t="str">
        <f>'Annex 1 LV and HV charges_L'!G9</f>
        <v>Notes</v>
      </c>
      <c r="G9" s="569" t="str">
        <f>'Annex 1 LV and HV charges_L'!H9</f>
        <v/>
      </c>
      <c r="H9" s="537" t="str">
        <f>'Annex 1 LV and HV charges_L'!I9</f>
        <v>All the above times are in UK Clock time</v>
      </c>
      <c r="I9" s="546" t="str">
        <f>'Annex 1 LV and HV charges_L'!J9</f>
        <v/>
      </c>
      <c r="J9" s="538" t="str">
        <f>'Annex 1 LV and HV charges_L'!K9</f>
        <v/>
      </c>
      <c r="K9" s="45"/>
      <c r="L9" s="45"/>
      <c r="M9" s="29"/>
      <c r="N9" s="29"/>
    </row>
    <row r="10" spans="1:14" s="47" customFormat="1" ht="40" customHeight="1" x14ac:dyDescent="0.3">
      <c r="A10" s="111"/>
      <c r="B10" s="572"/>
      <c r="C10" s="572"/>
      <c r="D10" s="572"/>
      <c r="E10" s="187"/>
      <c r="F10" s="662"/>
      <c r="G10" s="663"/>
      <c r="H10" s="188"/>
      <c r="I10" s="278"/>
      <c r="J10" s="278"/>
      <c r="K10" s="45"/>
      <c r="L10" s="45"/>
      <c r="M10" s="46"/>
      <c r="N10" s="46"/>
    </row>
    <row r="11" spans="1:14" ht="75" customHeight="1" x14ac:dyDescent="0.3">
      <c r="A11" s="18" t="s">
        <v>455</v>
      </c>
      <c r="B11" s="18" t="s">
        <v>31</v>
      </c>
      <c r="C11" s="433" t="s">
        <v>24</v>
      </c>
      <c r="D11" s="374" t="s">
        <v>579</v>
      </c>
      <c r="E11" s="374" t="s">
        <v>580</v>
      </c>
      <c r="F11" s="374" t="s">
        <v>581</v>
      </c>
      <c r="G11" s="433" t="s">
        <v>25</v>
      </c>
      <c r="H11" s="433" t="s">
        <v>26</v>
      </c>
      <c r="I11" s="433" t="s">
        <v>456</v>
      </c>
      <c r="J11" s="433" t="s">
        <v>270</v>
      </c>
      <c r="K11" s="1"/>
    </row>
    <row r="12" spans="1:14" ht="35.049999999999997" customHeight="1" x14ac:dyDescent="0.3">
      <c r="A12" s="398" t="s">
        <v>786</v>
      </c>
      <c r="B12" s="437" t="s">
        <v>480</v>
      </c>
      <c r="C12" s="405" t="s">
        <v>574</v>
      </c>
      <c r="D12" s="481">
        <v>10.179</v>
      </c>
      <c r="E12" s="478">
        <v>0.44</v>
      </c>
      <c r="F12" s="479">
        <v>2.7E-2</v>
      </c>
      <c r="G12" s="480">
        <v>11.76</v>
      </c>
      <c r="H12" s="476">
        <v>0</v>
      </c>
      <c r="I12" s="516">
        <v>0</v>
      </c>
      <c r="J12" s="482">
        <v>0</v>
      </c>
      <c r="K12" s="1"/>
    </row>
    <row r="13" spans="1:14" ht="35.049999999999997" customHeight="1" x14ac:dyDescent="0.3">
      <c r="A13" s="398" t="s">
        <v>787</v>
      </c>
      <c r="B13" s="437" t="s">
        <v>480</v>
      </c>
      <c r="C13" s="405" t="s">
        <v>575</v>
      </c>
      <c r="D13" s="481">
        <v>10.179</v>
      </c>
      <c r="E13" s="478">
        <v>0.44</v>
      </c>
      <c r="F13" s="479">
        <v>2.7E-2</v>
      </c>
      <c r="G13" s="476">
        <v>0</v>
      </c>
      <c r="H13" s="476">
        <v>0</v>
      </c>
      <c r="I13" s="516">
        <v>0</v>
      </c>
      <c r="J13" s="482">
        <v>0</v>
      </c>
      <c r="K13" s="1"/>
    </row>
    <row r="14" spans="1:14" ht="35.049999999999997" customHeight="1" x14ac:dyDescent="0.3">
      <c r="A14" s="398" t="s">
        <v>788</v>
      </c>
      <c r="B14" s="437" t="s">
        <v>480</v>
      </c>
      <c r="C14" s="405" t="s">
        <v>930</v>
      </c>
      <c r="D14" s="481">
        <v>9.7289999999999992</v>
      </c>
      <c r="E14" s="478">
        <v>0.42099999999999999</v>
      </c>
      <c r="F14" s="479">
        <v>2.5999999999999999E-2</v>
      </c>
      <c r="G14" s="480">
        <v>7.68</v>
      </c>
      <c r="H14" s="476">
        <v>0</v>
      </c>
      <c r="I14" s="516">
        <v>0</v>
      </c>
      <c r="J14" s="482">
        <v>0</v>
      </c>
      <c r="K14" s="1"/>
    </row>
    <row r="15" spans="1:14" ht="35.049999999999997" customHeight="1" x14ac:dyDescent="0.3">
      <c r="A15" s="398" t="s">
        <v>789</v>
      </c>
      <c r="B15" s="437" t="s">
        <v>480</v>
      </c>
      <c r="C15" s="405" t="s">
        <v>930</v>
      </c>
      <c r="D15" s="481">
        <v>9.7289999999999992</v>
      </c>
      <c r="E15" s="478">
        <v>0.42099999999999999</v>
      </c>
      <c r="F15" s="479">
        <v>2.5999999999999999E-2</v>
      </c>
      <c r="G15" s="480">
        <v>10.73</v>
      </c>
      <c r="H15" s="476">
        <v>0</v>
      </c>
      <c r="I15" s="516">
        <v>0</v>
      </c>
      <c r="J15" s="482">
        <v>0</v>
      </c>
      <c r="K15" s="1"/>
    </row>
    <row r="16" spans="1:14" ht="35.049999999999997" customHeight="1" x14ac:dyDescent="0.3">
      <c r="A16" s="398" t="s">
        <v>790</v>
      </c>
      <c r="B16" s="437" t="s">
        <v>480</v>
      </c>
      <c r="C16" s="405" t="s">
        <v>930</v>
      </c>
      <c r="D16" s="481">
        <v>9.7289999999999992</v>
      </c>
      <c r="E16" s="478">
        <v>0.42099999999999999</v>
      </c>
      <c r="F16" s="479">
        <v>2.5999999999999999E-2</v>
      </c>
      <c r="G16" s="480">
        <v>23.83</v>
      </c>
      <c r="H16" s="476">
        <v>0</v>
      </c>
      <c r="I16" s="516">
        <v>0</v>
      </c>
      <c r="J16" s="482">
        <v>0</v>
      </c>
      <c r="K16" s="1"/>
    </row>
    <row r="17" spans="1:11" ht="35.049999999999997" customHeight="1" x14ac:dyDescent="0.3">
      <c r="A17" s="398" t="s">
        <v>791</v>
      </c>
      <c r="B17" s="437" t="s">
        <v>480</v>
      </c>
      <c r="C17" s="405" t="s">
        <v>930</v>
      </c>
      <c r="D17" s="481">
        <v>9.7289999999999992</v>
      </c>
      <c r="E17" s="478">
        <v>0.42099999999999999</v>
      </c>
      <c r="F17" s="479">
        <v>2.5999999999999999E-2</v>
      </c>
      <c r="G17" s="480">
        <v>45.78</v>
      </c>
      <c r="H17" s="476">
        <v>0</v>
      </c>
      <c r="I17" s="516">
        <v>0</v>
      </c>
      <c r="J17" s="482">
        <v>0</v>
      </c>
      <c r="K17" s="1"/>
    </row>
    <row r="18" spans="1:11" ht="35.049999999999997" customHeight="1" x14ac:dyDescent="0.3">
      <c r="A18" s="398" t="s">
        <v>792</v>
      </c>
      <c r="B18" s="437" t="s">
        <v>480</v>
      </c>
      <c r="C18" s="405" t="s">
        <v>930</v>
      </c>
      <c r="D18" s="481">
        <v>9.7289999999999992</v>
      </c>
      <c r="E18" s="478">
        <v>0.42099999999999999</v>
      </c>
      <c r="F18" s="479">
        <v>2.5999999999999999E-2</v>
      </c>
      <c r="G18" s="480">
        <v>132.93</v>
      </c>
      <c r="H18" s="476">
        <v>0</v>
      </c>
      <c r="I18" s="516">
        <v>0</v>
      </c>
      <c r="J18" s="482">
        <v>0</v>
      </c>
      <c r="K18" s="1"/>
    </row>
    <row r="19" spans="1:11" ht="35.049999999999997" customHeight="1" x14ac:dyDescent="0.3">
      <c r="A19" s="398" t="s">
        <v>582</v>
      </c>
      <c r="B19" s="437" t="s">
        <v>480</v>
      </c>
      <c r="C19" s="405" t="s">
        <v>577</v>
      </c>
      <c r="D19" s="481">
        <v>9.7289999999999992</v>
      </c>
      <c r="E19" s="478">
        <v>0.42099999999999999</v>
      </c>
      <c r="F19" s="479">
        <v>2.5999999999999999E-2</v>
      </c>
      <c r="G19" s="476">
        <v>0</v>
      </c>
      <c r="H19" s="476">
        <v>0</v>
      </c>
      <c r="I19" s="516">
        <v>0</v>
      </c>
      <c r="J19" s="482">
        <v>0</v>
      </c>
      <c r="K19" s="1"/>
    </row>
    <row r="20" spans="1:11" ht="35.049999999999997" customHeight="1" x14ac:dyDescent="0.3">
      <c r="A20" s="398" t="s">
        <v>793</v>
      </c>
      <c r="B20" s="437" t="s">
        <v>480</v>
      </c>
      <c r="C20" s="405">
        <v>0</v>
      </c>
      <c r="D20" s="481">
        <v>7.08</v>
      </c>
      <c r="E20" s="478">
        <v>0.27600000000000002</v>
      </c>
      <c r="F20" s="479">
        <v>1.6E-2</v>
      </c>
      <c r="G20" s="480">
        <v>10.24</v>
      </c>
      <c r="H20" s="480">
        <v>2.94</v>
      </c>
      <c r="I20" s="485">
        <v>5.83</v>
      </c>
      <c r="J20" s="475">
        <v>7.8E-2</v>
      </c>
      <c r="K20" s="1"/>
    </row>
    <row r="21" spans="1:11" ht="35.049999999999997" customHeight="1" x14ac:dyDescent="0.3">
      <c r="A21" s="398" t="s">
        <v>794</v>
      </c>
      <c r="B21" s="437" t="s">
        <v>480</v>
      </c>
      <c r="C21" s="405">
        <v>0</v>
      </c>
      <c r="D21" s="481">
        <v>7.08</v>
      </c>
      <c r="E21" s="478">
        <v>0.27600000000000002</v>
      </c>
      <c r="F21" s="479">
        <v>1.6E-2</v>
      </c>
      <c r="G21" s="480">
        <v>209.83</v>
      </c>
      <c r="H21" s="480">
        <v>2.94</v>
      </c>
      <c r="I21" s="485">
        <v>5.83</v>
      </c>
      <c r="J21" s="475">
        <v>7.8E-2</v>
      </c>
      <c r="K21" s="1"/>
    </row>
    <row r="22" spans="1:11" ht="35.049999999999997" customHeight="1" x14ac:dyDescent="0.3">
      <c r="A22" s="398" t="s">
        <v>795</v>
      </c>
      <c r="B22" s="437" t="s">
        <v>480</v>
      </c>
      <c r="C22" s="405">
        <v>0</v>
      </c>
      <c r="D22" s="481">
        <v>7.08</v>
      </c>
      <c r="E22" s="478">
        <v>0.27600000000000002</v>
      </c>
      <c r="F22" s="479">
        <v>1.6E-2</v>
      </c>
      <c r="G22" s="480">
        <v>383.03</v>
      </c>
      <c r="H22" s="480">
        <v>2.94</v>
      </c>
      <c r="I22" s="485">
        <v>5.83</v>
      </c>
      <c r="J22" s="475">
        <v>7.8E-2</v>
      </c>
      <c r="K22" s="1"/>
    </row>
    <row r="23" spans="1:11" ht="35.049999999999997" customHeight="1" x14ac:dyDescent="0.3">
      <c r="A23" s="398" t="s">
        <v>796</v>
      </c>
      <c r="B23" s="437" t="s">
        <v>480</v>
      </c>
      <c r="C23" s="405">
        <v>0</v>
      </c>
      <c r="D23" s="481">
        <v>7.08</v>
      </c>
      <c r="E23" s="478">
        <v>0.27600000000000002</v>
      </c>
      <c r="F23" s="479">
        <v>1.6E-2</v>
      </c>
      <c r="G23" s="480">
        <v>586.77</v>
      </c>
      <c r="H23" s="480">
        <v>2.94</v>
      </c>
      <c r="I23" s="485">
        <v>5.83</v>
      </c>
      <c r="J23" s="475">
        <v>7.8E-2</v>
      </c>
      <c r="K23" s="1"/>
    </row>
    <row r="24" spans="1:11" ht="35.049999999999997" customHeight="1" x14ac:dyDescent="0.3">
      <c r="A24" s="398" t="s">
        <v>797</v>
      </c>
      <c r="B24" s="437" t="s">
        <v>480</v>
      </c>
      <c r="C24" s="405">
        <v>0</v>
      </c>
      <c r="D24" s="481">
        <v>7.08</v>
      </c>
      <c r="E24" s="478">
        <v>0.27600000000000002</v>
      </c>
      <c r="F24" s="479">
        <v>1.6E-2</v>
      </c>
      <c r="G24" s="480">
        <v>1251.3900000000001</v>
      </c>
      <c r="H24" s="480">
        <v>2.94</v>
      </c>
      <c r="I24" s="485">
        <v>5.83</v>
      </c>
      <c r="J24" s="475">
        <v>7.8E-2</v>
      </c>
      <c r="K24" s="1"/>
    </row>
    <row r="25" spans="1:11" ht="35.049999999999997" customHeight="1" x14ac:dyDescent="0.3">
      <c r="A25" s="398" t="s">
        <v>583</v>
      </c>
      <c r="B25" s="437" t="s">
        <v>480</v>
      </c>
      <c r="C25" s="405" t="s">
        <v>616</v>
      </c>
      <c r="D25" s="477">
        <v>28.417999999999999</v>
      </c>
      <c r="E25" s="483">
        <v>1.913</v>
      </c>
      <c r="F25" s="479">
        <v>1.4379999999999999</v>
      </c>
      <c r="G25" s="476">
        <v>0</v>
      </c>
      <c r="H25" s="476">
        <v>0</v>
      </c>
      <c r="I25" s="516">
        <v>0</v>
      </c>
      <c r="J25" s="482">
        <v>0</v>
      </c>
      <c r="K25" s="1"/>
    </row>
    <row r="26" spans="1:11" ht="35.049999999999997" customHeight="1" x14ac:dyDescent="0.3">
      <c r="A26" s="398" t="s">
        <v>686</v>
      </c>
      <c r="B26" s="437" t="s">
        <v>480</v>
      </c>
      <c r="C26" s="405">
        <v>0</v>
      </c>
      <c r="D26" s="481">
        <v>-10.054</v>
      </c>
      <c r="E26" s="478">
        <v>-0.435</v>
      </c>
      <c r="F26" s="479">
        <v>-2.7E-2</v>
      </c>
      <c r="G26" s="508">
        <v>0</v>
      </c>
      <c r="H26" s="476">
        <v>0</v>
      </c>
      <c r="I26" s="516">
        <v>0</v>
      </c>
      <c r="J26" s="482">
        <v>0</v>
      </c>
      <c r="K26" s="1"/>
    </row>
    <row r="27" spans="1:11" ht="35.049999999999997" customHeight="1" x14ac:dyDescent="0.3">
      <c r="A27" s="398" t="s">
        <v>687</v>
      </c>
      <c r="B27" s="437" t="s">
        <v>480</v>
      </c>
      <c r="C27" s="405">
        <v>0</v>
      </c>
      <c r="D27" s="481">
        <v>-10.054</v>
      </c>
      <c r="E27" s="478">
        <v>-0.435</v>
      </c>
      <c r="F27" s="479">
        <v>-2.7E-2</v>
      </c>
      <c r="G27" s="508">
        <v>0</v>
      </c>
      <c r="H27" s="476">
        <v>0</v>
      </c>
      <c r="I27" s="516">
        <v>0</v>
      </c>
      <c r="J27" s="475">
        <v>0.13300000000000001</v>
      </c>
      <c r="K27" s="1"/>
    </row>
    <row r="28" spans="1:11" ht="35.049999999999997" customHeight="1" x14ac:dyDescent="0.3">
      <c r="A28" s="401" t="s">
        <v>798</v>
      </c>
      <c r="B28" s="437" t="s">
        <v>480</v>
      </c>
      <c r="C28" s="405" t="s">
        <v>574</v>
      </c>
      <c r="D28" s="481">
        <v>6.92</v>
      </c>
      <c r="E28" s="478">
        <v>0.29899999999999999</v>
      </c>
      <c r="F28" s="479">
        <v>1.9E-2</v>
      </c>
      <c r="G28" s="480">
        <v>8.11</v>
      </c>
      <c r="H28" s="476">
        <v>0</v>
      </c>
      <c r="I28" s="516">
        <v>0</v>
      </c>
      <c r="J28" s="482">
        <v>0</v>
      </c>
      <c r="K28" s="1"/>
    </row>
    <row r="29" spans="1:11" ht="35.049999999999997" customHeight="1" x14ac:dyDescent="0.3">
      <c r="A29" s="401" t="s">
        <v>799</v>
      </c>
      <c r="B29" s="437" t="s">
        <v>480</v>
      </c>
      <c r="C29" s="405" t="s">
        <v>575</v>
      </c>
      <c r="D29" s="481">
        <v>6.92</v>
      </c>
      <c r="E29" s="478">
        <v>0.29899999999999999</v>
      </c>
      <c r="F29" s="479">
        <v>1.9E-2</v>
      </c>
      <c r="G29" s="476">
        <v>0</v>
      </c>
      <c r="H29" s="476">
        <v>0</v>
      </c>
      <c r="I29" s="516">
        <v>0</v>
      </c>
      <c r="J29" s="482">
        <v>0</v>
      </c>
      <c r="K29" s="1"/>
    </row>
    <row r="30" spans="1:11" ht="35.049999999999997" customHeight="1" x14ac:dyDescent="0.3">
      <c r="A30" s="401" t="s">
        <v>800</v>
      </c>
      <c r="B30" s="437" t="s">
        <v>480</v>
      </c>
      <c r="C30" s="405" t="s">
        <v>930</v>
      </c>
      <c r="D30" s="481">
        <v>6.6139999999999999</v>
      </c>
      <c r="E30" s="478">
        <v>0.28599999999999998</v>
      </c>
      <c r="F30" s="479">
        <v>1.7999999999999999E-2</v>
      </c>
      <c r="G30" s="480">
        <v>5.31</v>
      </c>
      <c r="H30" s="476">
        <v>0</v>
      </c>
      <c r="I30" s="516">
        <v>0</v>
      </c>
      <c r="J30" s="482">
        <v>0</v>
      </c>
      <c r="K30" s="1"/>
    </row>
    <row r="31" spans="1:11" ht="35.049999999999997" customHeight="1" x14ac:dyDescent="0.3">
      <c r="A31" s="401" t="s">
        <v>801</v>
      </c>
      <c r="B31" s="437" t="s">
        <v>480</v>
      </c>
      <c r="C31" s="405" t="s">
        <v>930</v>
      </c>
      <c r="D31" s="481">
        <v>6.6139999999999999</v>
      </c>
      <c r="E31" s="478">
        <v>0.28599999999999998</v>
      </c>
      <c r="F31" s="479">
        <v>1.7999999999999999E-2</v>
      </c>
      <c r="G31" s="480">
        <v>7.38</v>
      </c>
      <c r="H31" s="476">
        <v>0</v>
      </c>
      <c r="I31" s="516">
        <v>0</v>
      </c>
      <c r="J31" s="482">
        <v>0</v>
      </c>
      <c r="K31" s="1"/>
    </row>
    <row r="32" spans="1:11" ht="35.049999999999997" customHeight="1" x14ac:dyDescent="0.3">
      <c r="A32" s="401" t="s">
        <v>802</v>
      </c>
      <c r="B32" s="437" t="s">
        <v>480</v>
      </c>
      <c r="C32" s="405" t="s">
        <v>930</v>
      </c>
      <c r="D32" s="481">
        <v>6.6139999999999999</v>
      </c>
      <c r="E32" s="478">
        <v>0.28599999999999998</v>
      </c>
      <c r="F32" s="479">
        <v>1.7999999999999999E-2</v>
      </c>
      <c r="G32" s="480">
        <v>16.29</v>
      </c>
      <c r="H32" s="476">
        <v>0</v>
      </c>
      <c r="I32" s="516">
        <v>0</v>
      </c>
      <c r="J32" s="482">
        <v>0</v>
      </c>
      <c r="K32" s="1"/>
    </row>
    <row r="33" spans="1:11" ht="35.049999999999997" customHeight="1" x14ac:dyDescent="0.3">
      <c r="A33" s="401" t="s">
        <v>803</v>
      </c>
      <c r="B33" s="437" t="s">
        <v>480</v>
      </c>
      <c r="C33" s="405" t="s">
        <v>930</v>
      </c>
      <c r="D33" s="481">
        <v>6.6139999999999999</v>
      </c>
      <c r="E33" s="478">
        <v>0.28599999999999998</v>
      </c>
      <c r="F33" s="479">
        <v>1.7999999999999999E-2</v>
      </c>
      <c r="G33" s="480">
        <v>31.21</v>
      </c>
      <c r="H33" s="476">
        <v>0</v>
      </c>
      <c r="I33" s="516">
        <v>0</v>
      </c>
      <c r="J33" s="482">
        <v>0</v>
      </c>
      <c r="K33" s="1"/>
    </row>
    <row r="34" spans="1:11" ht="35.049999999999997" customHeight="1" x14ac:dyDescent="0.3">
      <c r="A34" s="401" t="s">
        <v>804</v>
      </c>
      <c r="B34" s="437" t="s">
        <v>480</v>
      </c>
      <c r="C34" s="405" t="s">
        <v>930</v>
      </c>
      <c r="D34" s="481">
        <v>6.6139999999999999</v>
      </c>
      <c r="E34" s="478">
        <v>0.28599999999999998</v>
      </c>
      <c r="F34" s="479">
        <v>1.7999999999999999E-2</v>
      </c>
      <c r="G34" s="480">
        <v>90.45</v>
      </c>
      <c r="H34" s="476">
        <v>0</v>
      </c>
      <c r="I34" s="516">
        <v>0</v>
      </c>
      <c r="J34" s="482">
        <v>0</v>
      </c>
      <c r="K34" s="1"/>
    </row>
    <row r="35" spans="1:11" ht="35.049999999999997" customHeight="1" x14ac:dyDescent="0.3">
      <c r="A35" s="401" t="s">
        <v>584</v>
      </c>
      <c r="B35" s="437" t="s">
        <v>480</v>
      </c>
      <c r="C35" s="405" t="s">
        <v>577</v>
      </c>
      <c r="D35" s="481">
        <v>6.6139999999999999</v>
      </c>
      <c r="E35" s="478">
        <v>0.28599999999999998</v>
      </c>
      <c r="F35" s="479">
        <v>1.7999999999999999E-2</v>
      </c>
      <c r="G35" s="476">
        <v>0</v>
      </c>
      <c r="H35" s="476">
        <v>0</v>
      </c>
      <c r="I35" s="516">
        <v>0</v>
      </c>
      <c r="J35" s="482">
        <v>0</v>
      </c>
      <c r="K35" s="1"/>
    </row>
    <row r="36" spans="1:11" ht="35.049999999999997" customHeight="1" x14ac:dyDescent="0.3">
      <c r="A36" s="401" t="s">
        <v>805</v>
      </c>
      <c r="B36" s="437" t="s">
        <v>480</v>
      </c>
      <c r="C36" s="405">
        <v>0</v>
      </c>
      <c r="D36" s="481">
        <v>4.8129999999999997</v>
      </c>
      <c r="E36" s="478">
        <v>0.188</v>
      </c>
      <c r="F36" s="479">
        <v>1.0999999999999999E-2</v>
      </c>
      <c r="G36" s="480">
        <v>7.05</v>
      </c>
      <c r="H36" s="480">
        <v>2</v>
      </c>
      <c r="I36" s="485">
        <v>3.96</v>
      </c>
      <c r="J36" s="475">
        <v>5.2999999999999999E-2</v>
      </c>
      <c r="K36" s="1"/>
    </row>
    <row r="37" spans="1:11" ht="35.049999999999997" customHeight="1" x14ac:dyDescent="0.3">
      <c r="A37" s="401" t="s">
        <v>806</v>
      </c>
      <c r="B37" s="437" t="s">
        <v>480</v>
      </c>
      <c r="C37" s="405">
        <v>0</v>
      </c>
      <c r="D37" s="481">
        <v>4.8129999999999997</v>
      </c>
      <c r="E37" s="478">
        <v>0.188</v>
      </c>
      <c r="F37" s="479">
        <v>1.0999999999999999E-2</v>
      </c>
      <c r="G37" s="480">
        <v>142.72999999999999</v>
      </c>
      <c r="H37" s="480">
        <v>2</v>
      </c>
      <c r="I37" s="485">
        <v>3.96</v>
      </c>
      <c r="J37" s="475">
        <v>5.2999999999999999E-2</v>
      </c>
      <c r="K37" s="1"/>
    </row>
    <row r="38" spans="1:11" ht="35.049999999999997" customHeight="1" x14ac:dyDescent="0.3">
      <c r="A38" s="401" t="s">
        <v>807</v>
      </c>
      <c r="B38" s="437" t="s">
        <v>480</v>
      </c>
      <c r="C38" s="405">
        <v>0</v>
      </c>
      <c r="D38" s="481">
        <v>4.8129999999999997</v>
      </c>
      <c r="E38" s="478">
        <v>0.188</v>
      </c>
      <c r="F38" s="479">
        <v>1.0999999999999999E-2</v>
      </c>
      <c r="G38" s="480">
        <v>260.48</v>
      </c>
      <c r="H38" s="480">
        <v>2</v>
      </c>
      <c r="I38" s="485">
        <v>3.96</v>
      </c>
      <c r="J38" s="475">
        <v>5.2999999999999999E-2</v>
      </c>
      <c r="K38" s="1"/>
    </row>
    <row r="39" spans="1:11" ht="35.049999999999997" customHeight="1" x14ac:dyDescent="0.3">
      <c r="A39" s="401" t="s">
        <v>808</v>
      </c>
      <c r="B39" s="437" t="s">
        <v>480</v>
      </c>
      <c r="C39" s="405">
        <v>0</v>
      </c>
      <c r="D39" s="481">
        <v>4.8129999999999997</v>
      </c>
      <c r="E39" s="478">
        <v>0.188</v>
      </c>
      <c r="F39" s="479">
        <v>1.0999999999999999E-2</v>
      </c>
      <c r="G39" s="480">
        <v>398.99</v>
      </c>
      <c r="H39" s="480">
        <v>2</v>
      </c>
      <c r="I39" s="485">
        <v>3.96</v>
      </c>
      <c r="J39" s="475">
        <v>5.2999999999999999E-2</v>
      </c>
      <c r="K39" s="1"/>
    </row>
    <row r="40" spans="1:11" ht="35.049999999999997" customHeight="1" x14ac:dyDescent="0.3">
      <c r="A40" s="401" t="s">
        <v>809</v>
      </c>
      <c r="B40" s="437" t="s">
        <v>480</v>
      </c>
      <c r="C40" s="405">
        <v>0</v>
      </c>
      <c r="D40" s="481">
        <v>4.8129999999999997</v>
      </c>
      <c r="E40" s="478">
        <v>0.188</v>
      </c>
      <c r="F40" s="479">
        <v>1.0999999999999999E-2</v>
      </c>
      <c r="G40" s="480">
        <v>850.81</v>
      </c>
      <c r="H40" s="480">
        <v>2</v>
      </c>
      <c r="I40" s="485">
        <v>3.96</v>
      </c>
      <c r="J40" s="475">
        <v>5.2999999999999999E-2</v>
      </c>
      <c r="K40" s="1"/>
    </row>
    <row r="41" spans="1:11" ht="35.049999999999997" customHeight="1" x14ac:dyDescent="0.3">
      <c r="A41" s="401" t="s">
        <v>810</v>
      </c>
      <c r="B41" s="437" t="s">
        <v>480</v>
      </c>
      <c r="C41" s="405">
        <v>0</v>
      </c>
      <c r="D41" s="481">
        <v>5.3280000000000003</v>
      </c>
      <c r="E41" s="478">
        <v>0.157</v>
      </c>
      <c r="F41" s="479">
        <v>8.0000000000000002E-3</v>
      </c>
      <c r="G41" s="480">
        <v>8.99</v>
      </c>
      <c r="H41" s="480">
        <v>3</v>
      </c>
      <c r="I41" s="485">
        <v>5.47</v>
      </c>
      <c r="J41" s="475">
        <v>5.7000000000000002E-2</v>
      </c>
      <c r="K41" s="1"/>
    </row>
    <row r="42" spans="1:11" ht="35.049999999999997" customHeight="1" x14ac:dyDescent="0.3">
      <c r="A42" s="401" t="s">
        <v>811</v>
      </c>
      <c r="B42" s="437" t="s">
        <v>480</v>
      </c>
      <c r="C42" s="405">
        <v>0</v>
      </c>
      <c r="D42" s="481">
        <v>5.3280000000000003</v>
      </c>
      <c r="E42" s="478">
        <v>0.157</v>
      </c>
      <c r="F42" s="479">
        <v>8.0000000000000002E-3</v>
      </c>
      <c r="G42" s="480">
        <v>232.56</v>
      </c>
      <c r="H42" s="480">
        <v>3</v>
      </c>
      <c r="I42" s="485">
        <v>5.47</v>
      </c>
      <c r="J42" s="475">
        <v>5.7000000000000002E-2</v>
      </c>
      <c r="K42" s="1"/>
    </row>
    <row r="43" spans="1:11" ht="35.049999999999997" customHeight="1" x14ac:dyDescent="0.3">
      <c r="A43" s="401" t="s">
        <v>812</v>
      </c>
      <c r="B43" s="437" t="s">
        <v>480</v>
      </c>
      <c r="C43" s="405">
        <v>0</v>
      </c>
      <c r="D43" s="481">
        <v>5.3280000000000003</v>
      </c>
      <c r="E43" s="478">
        <v>0.157</v>
      </c>
      <c r="F43" s="479">
        <v>8.0000000000000002E-3</v>
      </c>
      <c r="G43" s="480">
        <v>426.57</v>
      </c>
      <c r="H43" s="480">
        <v>3</v>
      </c>
      <c r="I43" s="485">
        <v>5.47</v>
      </c>
      <c r="J43" s="475">
        <v>5.7000000000000002E-2</v>
      </c>
      <c r="K43" s="1"/>
    </row>
    <row r="44" spans="1:11" ht="35.049999999999997" customHeight="1" x14ac:dyDescent="0.3">
      <c r="A44" s="401" t="s">
        <v>813</v>
      </c>
      <c r="B44" s="437" t="s">
        <v>480</v>
      </c>
      <c r="C44" s="405">
        <v>0</v>
      </c>
      <c r="D44" s="481">
        <v>5.3280000000000003</v>
      </c>
      <c r="E44" s="478">
        <v>0.157</v>
      </c>
      <c r="F44" s="479">
        <v>8.0000000000000002E-3</v>
      </c>
      <c r="G44" s="480">
        <v>654.79</v>
      </c>
      <c r="H44" s="480">
        <v>3</v>
      </c>
      <c r="I44" s="485">
        <v>5.47</v>
      </c>
      <c r="J44" s="475">
        <v>5.7000000000000002E-2</v>
      </c>
      <c r="K44" s="1"/>
    </row>
    <row r="45" spans="1:11" ht="35.049999999999997" customHeight="1" x14ac:dyDescent="0.3">
      <c r="A45" s="401" t="s">
        <v>814</v>
      </c>
      <c r="B45" s="437" t="s">
        <v>480</v>
      </c>
      <c r="C45" s="405">
        <v>0</v>
      </c>
      <c r="D45" s="481">
        <v>5.3280000000000003</v>
      </c>
      <c r="E45" s="478">
        <v>0.157</v>
      </c>
      <c r="F45" s="479">
        <v>8.0000000000000002E-3</v>
      </c>
      <c r="G45" s="480">
        <v>1399.27</v>
      </c>
      <c r="H45" s="480">
        <v>3</v>
      </c>
      <c r="I45" s="485">
        <v>5.47</v>
      </c>
      <c r="J45" s="475">
        <v>5.7000000000000002E-2</v>
      </c>
      <c r="K45" s="1"/>
    </row>
    <row r="46" spans="1:11" ht="35.049999999999997" customHeight="1" x14ac:dyDescent="0.3">
      <c r="A46" s="401" t="s">
        <v>815</v>
      </c>
      <c r="B46" s="437" t="s">
        <v>480</v>
      </c>
      <c r="C46" s="405">
        <v>0</v>
      </c>
      <c r="D46" s="481">
        <v>4.6870000000000003</v>
      </c>
      <c r="E46" s="478">
        <v>9.9000000000000005E-2</v>
      </c>
      <c r="F46" s="479">
        <v>3.0000000000000001E-3</v>
      </c>
      <c r="G46" s="480">
        <v>95.73</v>
      </c>
      <c r="H46" s="480">
        <v>3.07</v>
      </c>
      <c r="I46" s="485">
        <v>6.43</v>
      </c>
      <c r="J46" s="475">
        <v>4.3999999999999997E-2</v>
      </c>
      <c r="K46" s="1"/>
    </row>
    <row r="47" spans="1:11" ht="35.049999999999997" customHeight="1" x14ac:dyDescent="0.3">
      <c r="A47" s="401" t="s">
        <v>816</v>
      </c>
      <c r="B47" s="437" t="s">
        <v>480</v>
      </c>
      <c r="C47" s="405">
        <v>0</v>
      </c>
      <c r="D47" s="481">
        <v>4.6870000000000003</v>
      </c>
      <c r="E47" s="478">
        <v>9.9000000000000005E-2</v>
      </c>
      <c r="F47" s="479">
        <v>3.0000000000000001E-3</v>
      </c>
      <c r="G47" s="480">
        <v>1689.55</v>
      </c>
      <c r="H47" s="480">
        <v>3.07</v>
      </c>
      <c r="I47" s="485">
        <v>6.43</v>
      </c>
      <c r="J47" s="475">
        <v>4.3999999999999997E-2</v>
      </c>
      <c r="K47" s="1"/>
    </row>
    <row r="48" spans="1:11" ht="35.049999999999997" customHeight="1" x14ac:dyDescent="0.3">
      <c r="A48" s="401" t="s">
        <v>817</v>
      </c>
      <c r="B48" s="437" t="s">
        <v>480</v>
      </c>
      <c r="C48" s="405">
        <v>0</v>
      </c>
      <c r="D48" s="481">
        <v>4.6870000000000003</v>
      </c>
      <c r="E48" s="478">
        <v>9.9000000000000005E-2</v>
      </c>
      <c r="F48" s="479">
        <v>3.0000000000000001E-3</v>
      </c>
      <c r="G48" s="480">
        <v>4139.68</v>
      </c>
      <c r="H48" s="480">
        <v>3.07</v>
      </c>
      <c r="I48" s="485">
        <v>6.43</v>
      </c>
      <c r="J48" s="475">
        <v>4.3999999999999997E-2</v>
      </c>
      <c r="K48" s="1"/>
    </row>
    <row r="49" spans="1:11" ht="35.049999999999997" customHeight="1" x14ac:dyDescent="0.3">
      <c r="A49" s="401" t="s">
        <v>818</v>
      </c>
      <c r="B49" s="437" t="s">
        <v>480</v>
      </c>
      <c r="C49" s="405">
        <v>0</v>
      </c>
      <c r="D49" s="481">
        <v>4.6870000000000003</v>
      </c>
      <c r="E49" s="478">
        <v>9.9000000000000005E-2</v>
      </c>
      <c r="F49" s="479">
        <v>3.0000000000000001E-3</v>
      </c>
      <c r="G49" s="480">
        <v>8974.07</v>
      </c>
      <c r="H49" s="480">
        <v>3.07</v>
      </c>
      <c r="I49" s="485">
        <v>6.43</v>
      </c>
      <c r="J49" s="475">
        <v>4.3999999999999997E-2</v>
      </c>
      <c r="K49" s="1"/>
    </row>
    <row r="50" spans="1:11" ht="35.049999999999997" customHeight="1" x14ac:dyDescent="0.3">
      <c r="A50" s="401" t="s">
        <v>819</v>
      </c>
      <c r="B50" s="437" t="s">
        <v>480</v>
      </c>
      <c r="C50" s="405">
        <v>0</v>
      </c>
      <c r="D50" s="481">
        <v>4.6870000000000003</v>
      </c>
      <c r="E50" s="478">
        <v>9.9000000000000005E-2</v>
      </c>
      <c r="F50" s="479">
        <v>3.0000000000000001E-3</v>
      </c>
      <c r="G50" s="480">
        <v>22322.47</v>
      </c>
      <c r="H50" s="480">
        <v>3.07</v>
      </c>
      <c r="I50" s="485">
        <v>6.43</v>
      </c>
      <c r="J50" s="475">
        <v>4.3999999999999997E-2</v>
      </c>
      <c r="K50" s="1"/>
    </row>
    <row r="51" spans="1:11" ht="35.049999999999997" customHeight="1" x14ac:dyDescent="0.3">
      <c r="A51" s="401" t="s">
        <v>585</v>
      </c>
      <c r="B51" s="437" t="s">
        <v>480</v>
      </c>
      <c r="C51" s="405" t="s">
        <v>616</v>
      </c>
      <c r="D51" s="477">
        <v>19.318999999999999</v>
      </c>
      <c r="E51" s="483">
        <v>1.3009999999999999</v>
      </c>
      <c r="F51" s="479">
        <v>0.97699999999999998</v>
      </c>
      <c r="G51" s="476">
        <v>0</v>
      </c>
      <c r="H51" s="476">
        <v>0</v>
      </c>
      <c r="I51" s="516">
        <v>0</v>
      </c>
      <c r="J51" s="482">
        <v>0</v>
      </c>
      <c r="K51" s="1"/>
    </row>
    <row r="52" spans="1:11" ht="35.049999999999997" customHeight="1" x14ac:dyDescent="0.3">
      <c r="A52" s="401" t="s">
        <v>688</v>
      </c>
      <c r="B52" s="437" t="s">
        <v>480</v>
      </c>
      <c r="C52" s="405">
        <v>0</v>
      </c>
      <c r="D52" s="481">
        <v>-10.054</v>
      </c>
      <c r="E52" s="478">
        <v>-0.435</v>
      </c>
      <c r="F52" s="479">
        <v>-2.7E-2</v>
      </c>
      <c r="G52" s="508">
        <v>0</v>
      </c>
      <c r="H52" s="476">
        <v>0</v>
      </c>
      <c r="I52" s="516">
        <v>0</v>
      </c>
      <c r="J52" s="482">
        <v>0</v>
      </c>
      <c r="K52" s="1"/>
    </row>
    <row r="53" spans="1:11" ht="35.049999999999997" customHeight="1" x14ac:dyDescent="0.3">
      <c r="A53" s="401" t="s">
        <v>689</v>
      </c>
      <c r="B53" s="437" t="s">
        <v>480</v>
      </c>
      <c r="C53" s="405">
        <v>0</v>
      </c>
      <c r="D53" s="481">
        <v>-9.0850000000000009</v>
      </c>
      <c r="E53" s="478">
        <v>-0.37</v>
      </c>
      <c r="F53" s="479">
        <v>-2.1999999999999999E-2</v>
      </c>
      <c r="G53" s="508">
        <v>0</v>
      </c>
      <c r="H53" s="476">
        <v>0</v>
      </c>
      <c r="I53" s="516">
        <v>0</v>
      </c>
      <c r="J53" s="482">
        <v>0</v>
      </c>
      <c r="K53" s="1"/>
    </row>
    <row r="54" spans="1:11" ht="35.049999999999997" customHeight="1" x14ac:dyDescent="0.3">
      <c r="A54" s="401" t="s">
        <v>599</v>
      </c>
      <c r="B54" s="437" t="s">
        <v>480</v>
      </c>
      <c r="C54" s="405">
        <v>0</v>
      </c>
      <c r="D54" s="481">
        <v>-10.054</v>
      </c>
      <c r="E54" s="478">
        <v>-0.435</v>
      </c>
      <c r="F54" s="479">
        <v>-2.7E-2</v>
      </c>
      <c r="G54" s="508">
        <v>0</v>
      </c>
      <c r="H54" s="476">
        <v>0</v>
      </c>
      <c r="I54" s="516">
        <v>0</v>
      </c>
      <c r="J54" s="475">
        <v>0.13300000000000001</v>
      </c>
      <c r="K54" s="1"/>
    </row>
    <row r="55" spans="1:11" ht="35.049999999999997" customHeight="1" x14ac:dyDescent="0.3">
      <c r="A55" s="401" t="s">
        <v>690</v>
      </c>
      <c r="B55" s="437" t="s">
        <v>480</v>
      </c>
      <c r="C55" s="405">
        <v>0</v>
      </c>
      <c r="D55" s="481">
        <v>-9.0850000000000009</v>
      </c>
      <c r="E55" s="478">
        <v>-0.37</v>
      </c>
      <c r="F55" s="479">
        <v>-2.1999999999999999E-2</v>
      </c>
      <c r="G55" s="508">
        <v>0</v>
      </c>
      <c r="H55" s="476">
        <v>0</v>
      </c>
      <c r="I55" s="516">
        <v>0</v>
      </c>
      <c r="J55" s="475">
        <v>0.105</v>
      </c>
      <c r="K55" s="1"/>
    </row>
    <row r="56" spans="1:11" ht="35.049999999999997" customHeight="1" x14ac:dyDescent="0.3">
      <c r="A56" s="401" t="s">
        <v>600</v>
      </c>
      <c r="B56" s="437" t="s">
        <v>480</v>
      </c>
      <c r="C56" s="405">
        <v>0</v>
      </c>
      <c r="D56" s="481">
        <v>-5.87</v>
      </c>
      <c r="E56" s="478">
        <v>-0.155</v>
      </c>
      <c r="F56" s="479">
        <v>-7.0000000000000001E-3</v>
      </c>
      <c r="G56" s="508">
        <v>0</v>
      </c>
      <c r="H56" s="476">
        <v>0</v>
      </c>
      <c r="I56" s="516">
        <v>0</v>
      </c>
      <c r="J56" s="475">
        <v>8.1000000000000003E-2</v>
      </c>
      <c r="K56" s="1"/>
    </row>
    <row r="57" spans="1:11" ht="35.049999999999997" customHeight="1" x14ac:dyDescent="0.3">
      <c r="A57" s="398" t="s">
        <v>820</v>
      </c>
      <c r="B57" s="437" t="s">
        <v>480</v>
      </c>
      <c r="C57" s="405" t="s">
        <v>574</v>
      </c>
      <c r="D57" s="481">
        <v>4.7119999999999997</v>
      </c>
      <c r="E57" s="478">
        <v>0.20399999999999999</v>
      </c>
      <c r="F57" s="479">
        <v>1.2999999999999999E-2</v>
      </c>
      <c r="G57" s="480">
        <v>5.64</v>
      </c>
      <c r="H57" s="476">
        <v>0</v>
      </c>
      <c r="I57" s="516">
        <v>0</v>
      </c>
      <c r="J57" s="482">
        <v>0</v>
      </c>
      <c r="K57" s="1"/>
    </row>
    <row r="58" spans="1:11" ht="35.049999999999997" customHeight="1" x14ac:dyDescent="0.3">
      <c r="A58" s="398" t="s">
        <v>821</v>
      </c>
      <c r="B58" s="437" t="s">
        <v>480</v>
      </c>
      <c r="C58" s="405" t="s">
        <v>575</v>
      </c>
      <c r="D58" s="481">
        <v>4.7119999999999997</v>
      </c>
      <c r="E58" s="478">
        <v>0.20399999999999999</v>
      </c>
      <c r="F58" s="479">
        <v>1.2999999999999999E-2</v>
      </c>
      <c r="G58" s="476">
        <v>0</v>
      </c>
      <c r="H58" s="476">
        <v>0</v>
      </c>
      <c r="I58" s="516">
        <v>0</v>
      </c>
      <c r="J58" s="482">
        <v>0</v>
      </c>
      <c r="K58" s="1"/>
    </row>
    <row r="59" spans="1:11" ht="35.049999999999997" customHeight="1" x14ac:dyDescent="0.3">
      <c r="A59" s="398" t="s">
        <v>822</v>
      </c>
      <c r="B59" s="437" t="s">
        <v>480</v>
      </c>
      <c r="C59" s="405" t="s">
        <v>930</v>
      </c>
      <c r="D59" s="481">
        <v>4.5030000000000001</v>
      </c>
      <c r="E59" s="478">
        <v>0.19500000000000001</v>
      </c>
      <c r="F59" s="479">
        <v>1.2E-2</v>
      </c>
      <c r="G59" s="480">
        <v>3.7</v>
      </c>
      <c r="H59" s="476">
        <v>0</v>
      </c>
      <c r="I59" s="516">
        <v>0</v>
      </c>
      <c r="J59" s="482">
        <v>0</v>
      </c>
      <c r="K59" s="1"/>
    </row>
    <row r="60" spans="1:11" ht="35.049999999999997" customHeight="1" x14ac:dyDescent="0.3">
      <c r="A60" s="398" t="s">
        <v>823</v>
      </c>
      <c r="B60" s="437" t="s">
        <v>480</v>
      </c>
      <c r="C60" s="405" t="s">
        <v>930</v>
      </c>
      <c r="D60" s="481">
        <v>4.5030000000000001</v>
      </c>
      <c r="E60" s="478">
        <v>0.19500000000000001</v>
      </c>
      <c r="F60" s="479">
        <v>1.2E-2</v>
      </c>
      <c r="G60" s="480">
        <v>5.1100000000000003</v>
      </c>
      <c r="H60" s="476">
        <v>0</v>
      </c>
      <c r="I60" s="516">
        <v>0</v>
      </c>
      <c r="J60" s="482">
        <v>0</v>
      </c>
      <c r="K60" s="1"/>
    </row>
    <row r="61" spans="1:11" ht="35.049999999999997" customHeight="1" x14ac:dyDescent="0.3">
      <c r="A61" s="398" t="s">
        <v>824</v>
      </c>
      <c r="B61" s="437" t="s">
        <v>480</v>
      </c>
      <c r="C61" s="405" t="s">
        <v>930</v>
      </c>
      <c r="D61" s="481">
        <v>4.5030000000000001</v>
      </c>
      <c r="E61" s="478">
        <v>0.19500000000000001</v>
      </c>
      <c r="F61" s="479">
        <v>1.2E-2</v>
      </c>
      <c r="G61" s="480">
        <v>11.18</v>
      </c>
      <c r="H61" s="476">
        <v>0</v>
      </c>
      <c r="I61" s="516">
        <v>0</v>
      </c>
      <c r="J61" s="482">
        <v>0</v>
      </c>
      <c r="K61" s="1"/>
    </row>
    <row r="62" spans="1:11" ht="35.049999999999997" customHeight="1" x14ac:dyDescent="0.3">
      <c r="A62" s="398" t="s">
        <v>825</v>
      </c>
      <c r="B62" s="437" t="s">
        <v>480</v>
      </c>
      <c r="C62" s="405" t="s">
        <v>930</v>
      </c>
      <c r="D62" s="481">
        <v>4.5030000000000001</v>
      </c>
      <c r="E62" s="478">
        <v>0.19500000000000001</v>
      </c>
      <c r="F62" s="479">
        <v>1.2E-2</v>
      </c>
      <c r="G62" s="480">
        <v>21.34</v>
      </c>
      <c r="H62" s="476">
        <v>0</v>
      </c>
      <c r="I62" s="516">
        <v>0</v>
      </c>
      <c r="J62" s="482">
        <v>0</v>
      </c>
      <c r="K62" s="1"/>
    </row>
    <row r="63" spans="1:11" ht="35.049999999999997" customHeight="1" x14ac:dyDescent="0.3">
      <c r="A63" s="398" t="s">
        <v>826</v>
      </c>
      <c r="B63" s="437" t="s">
        <v>480</v>
      </c>
      <c r="C63" s="405" t="s">
        <v>930</v>
      </c>
      <c r="D63" s="481">
        <v>4.5030000000000001</v>
      </c>
      <c r="E63" s="478">
        <v>0.19500000000000001</v>
      </c>
      <c r="F63" s="479">
        <v>1.2E-2</v>
      </c>
      <c r="G63" s="480">
        <v>61.67</v>
      </c>
      <c r="H63" s="476">
        <v>0</v>
      </c>
      <c r="I63" s="516">
        <v>0</v>
      </c>
      <c r="J63" s="482">
        <v>0</v>
      </c>
      <c r="K63" s="1"/>
    </row>
    <row r="64" spans="1:11" ht="35.049999999999997" customHeight="1" x14ac:dyDescent="0.3">
      <c r="A64" s="398" t="s">
        <v>586</v>
      </c>
      <c r="B64" s="437" t="s">
        <v>480</v>
      </c>
      <c r="C64" s="405" t="s">
        <v>577</v>
      </c>
      <c r="D64" s="481">
        <v>4.5030000000000001</v>
      </c>
      <c r="E64" s="478">
        <v>0.19500000000000001</v>
      </c>
      <c r="F64" s="479">
        <v>1.2E-2</v>
      </c>
      <c r="G64" s="476">
        <v>0</v>
      </c>
      <c r="H64" s="476">
        <v>0</v>
      </c>
      <c r="I64" s="516">
        <v>0</v>
      </c>
      <c r="J64" s="482">
        <v>0</v>
      </c>
      <c r="K64" s="1"/>
    </row>
    <row r="65" spans="1:11" ht="35.049999999999997" customHeight="1" x14ac:dyDescent="0.3">
      <c r="A65" s="398" t="s">
        <v>827</v>
      </c>
      <c r="B65" s="437" t="s">
        <v>480</v>
      </c>
      <c r="C65" s="405">
        <v>0</v>
      </c>
      <c r="D65" s="481">
        <v>3.2770000000000001</v>
      </c>
      <c r="E65" s="478">
        <v>0.128</v>
      </c>
      <c r="F65" s="479">
        <v>8.0000000000000002E-3</v>
      </c>
      <c r="G65" s="480">
        <v>4.8899999999999997</v>
      </c>
      <c r="H65" s="480">
        <v>1.36</v>
      </c>
      <c r="I65" s="485">
        <v>2.7</v>
      </c>
      <c r="J65" s="475">
        <v>3.5999999999999997E-2</v>
      </c>
      <c r="K65" s="1"/>
    </row>
    <row r="66" spans="1:11" ht="35.049999999999997" customHeight="1" x14ac:dyDescent="0.3">
      <c r="A66" s="398" t="s">
        <v>828</v>
      </c>
      <c r="B66" s="437" t="s">
        <v>480</v>
      </c>
      <c r="C66" s="405">
        <v>0</v>
      </c>
      <c r="D66" s="481">
        <v>3.2770000000000001</v>
      </c>
      <c r="E66" s="478">
        <v>0.128</v>
      </c>
      <c r="F66" s="479">
        <v>8.0000000000000002E-3</v>
      </c>
      <c r="G66" s="480">
        <v>97.27</v>
      </c>
      <c r="H66" s="480">
        <v>1.36</v>
      </c>
      <c r="I66" s="485">
        <v>2.7</v>
      </c>
      <c r="J66" s="475">
        <v>3.5999999999999997E-2</v>
      </c>
      <c r="K66" s="1"/>
    </row>
    <row r="67" spans="1:11" ht="35.049999999999997" customHeight="1" x14ac:dyDescent="0.3">
      <c r="A67" s="398" t="s">
        <v>829</v>
      </c>
      <c r="B67" s="437" t="s">
        <v>480</v>
      </c>
      <c r="C67" s="405">
        <v>0</v>
      </c>
      <c r="D67" s="481">
        <v>3.2770000000000001</v>
      </c>
      <c r="E67" s="478">
        <v>0.128</v>
      </c>
      <c r="F67" s="479">
        <v>8.0000000000000002E-3</v>
      </c>
      <c r="G67" s="480">
        <v>177.44</v>
      </c>
      <c r="H67" s="480">
        <v>1.36</v>
      </c>
      <c r="I67" s="485">
        <v>2.7</v>
      </c>
      <c r="J67" s="475">
        <v>3.5999999999999997E-2</v>
      </c>
      <c r="K67" s="1"/>
    </row>
    <row r="68" spans="1:11" ht="35.049999999999997" customHeight="1" x14ac:dyDescent="0.3">
      <c r="A68" s="398" t="s">
        <v>830</v>
      </c>
      <c r="B68" s="437" t="s">
        <v>480</v>
      </c>
      <c r="C68" s="405">
        <v>0</v>
      </c>
      <c r="D68" s="481">
        <v>3.2770000000000001</v>
      </c>
      <c r="E68" s="478">
        <v>0.128</v>
      </c>
      <c r="F68" s="479">
        <v>8.0000000000000002E-3</v>
      </c>
      <c r="G68" s="480">
        <v>271.75</v>
      </c>
      <c r="H68" s="480">
        <v>1.36</v>
      </c>
      <c r="I68" s="485">
        <v>2.7</v>
      </c>
      <c r="J68" s="475">
        <v>3.5999999999999997E-2</v>
      </c>
      <c r="K68" s="1"/>
    </row>
    <row r="69" spans="1:11" ht="35.049999999999997" customHeight="1" x14ac:dyDescent="0.3">
      <c r="A69" s="398" t="s">
        <v>831</v>
      </c>
      <c r="B69" s="437" t="s">
        <v>480</v>
      </c>
      <c r="C69" s="405">
        <v>0</v>
      </c>
      <c r="D69" s="481">
        <v>3.2770000000000001</v>
      </c>
      <c r="E69" s="478">
        <v>0.128</v>
      </c>
      <c r="F69" s="479">
        <v>8.0000000000000002E-3</v>
      </c>
      <c r="G69" s="480">
        <v>579.39</v>
      </c>
      <c r="H69" s="480">
        <v>1.36</v>
      </c>
      <c r="I69" s="485">
        <v>2.7</v>
      </c>
      <c r="J69" s="475">
        <v>3.5999999999999997E-2</v>
      </c>
      <c r="K69" s="1"/>
    </row>
    <row r="70" spans="1:11" ht="35.049999999999997" customHeight="1" x14ac:dyDescent="0.3">
      <c r="A70" s="398" t="s">
        <v>832</v>
      </c>
      <c r="B70" s="437" t="s">
        <v>480</v>
      </c>
      <c r="C70" s="405">
        <v>0</v>
      </c>
      <c r="D70" s="481">
        <v>3.5760000000000001</v>
      </c>
      <c r="E70" s="478">
        <v>0.105</v>
      </c>
      <c r="F70" s="479">
        <v>5.0000000000000001E-3</v>
      </c>
      <c r="G70" s="480">
        <v>6.12</v>
      </c>
      <c r="H70" s="480">
        <v>2.02</v>
      </c>
      <c r="I70" s="485">
        <v>3.67</v>
      </c>
      <c r="J70" s="475">
        <v>3.7999999999999999E-2</v>
      </c>
      <c r="K70" s="1"/>
    </row>
    <row r="71" spans="1:11" ht="35.049999999999997" customHeight="1" x14ac:dyDescent="0.3">
      <c r="A71" s="398" t="s">
        <v>833</v>
      </c>
      <c r="B71" s="437" t="s">
        <v>480</v>
      </c>
      <c r="C71" s="405">
        <v>0</v>
      </c>
      <c r="D71" s="481">
        <v>3.5760000000000001</v>
      </c>
      <c r="E71" s="478">
        <v>0.105</v>
      </c>
      <c r="F71" s="479">
        <v>5.0000000000000001E-3</v>
      </c>
      <c r="G71" s="480">
        <v>156.18</v>
      </c>
      <c r="H71" s="480">
        <v>2.02</v>
      </c>
      <c r="I71" s="485">
        <v>3.67</v>
      </c>
      <c r="J71" s="475">
        <v>3.7999999999999999E-2</v>
      </c>
      <c r="K71" s="1"/>
    </row>
    <row r="72" spans="1:11" ht="35.049999999999997" customHeight="1" x14ac:dyDescent="0.3">
      <c r="A72" s="398" t="s">
        <v>834</v>
      </c>
      <c r="B72" s="437" t="s">
        <v>480</v>
      </c>
      <c r="C72" s="405">
        <v>0</v>
      </c>
      <c r="D72" s="481">
        <v>3.5760000000000001</v>
      </c>
      <c r="E72" s="478">
        <v>0.105</v>
      </c>
      <c r="F72" s="479">
        <v>5.0000000000000001E-3</v>
      </c>
      <c r="G72" s="480">
        <v>286.41000000000003</v>
      </c>
      <c r="H72" s="480">
        <v>2.02</v>
      </c>
      <c r="I72" s="485">
        <v>3.67</v>
      </c>
      <c r="J72" s="475">
        <v>3.7999999999999999E-2</v>
      </c>
      <c r="K72" s="1"/>
    </row>
    <row r="73" spans="1:11" ht="35.049999999999997" customHeight="1" x14ac:dyDescent="0.3">
      <c r="A73" s="398" t="s">
        <v>835</v>
      </c>
      <c r="B73" s="437" t="s">
        <v>480</v>
      </c>
      <c r="C73" s="405">
        <v>0</v>
      </c>
      <c r="D73" s="481">
        <v>3.5760000000000001</v>
      </c>
      <c r="E73" s="478">
        <v>0.105</v>
      </c>
      <c r="F73" s="479">
        <v>5.0000000000000001E-3</v>
      </c>
      <c r="G73" s="480">
        <v>439.59</v>
      </c>
      <c r="H73" s="480">
        <v>2.02</v>
      </c>
      <c r="I73" s="485">
        <v>3.67</v>
      </c>
      <c r="J73" s="475">
        <v>3.7999999999999999E-2</v>
      </c>
      <c r="K73" s="1"/>
    </row>
    <row r="74" spans="1:11" ht="35.049999999999997" customHeight="1" x14ac:dyDescent="0.3">
      <c r="A74" s="398" t="s">
        <v>836</v>
      </c>
      <c r="B74" s="437" t="s">
        <v>480</v>
      </c>
      <c r="C74" s="405">
        <v>0</v>
      </c>
      <c r="D74" s="481">
        <v>3.5760000000000001</v>
      </c>
      <c r="E74" s="478">
        <v>0.105</v>
      </c>
      <c r="F74" s="479">
        <v>5.0000000000000001E-3</v>
      </c>
      <c r="G74" s="480">
        <v>939.29</v>
      </c>
      <c r="H74" s="480">
        <v>2.02</v>
      </c>
      <c r="I74" s="485">
        <v>3.67</v>
      </c>
      <c r="J74" s="475">
        <v>3.7999999999999999E-2</v>
      </c>
      <c r="K74" s="1"/>
    </row>
    <row r="75" spans="1:11" ht="35.049999999999997" customHeight="1" x14ac:dyDescent="0.3">
      <c r="A75" s="398" t="s">
        <v>837</v>
      </c>
      <c r="B75" s="437" t="s">
        <v>480</v>
      </c>
      <c r="C75" s="405">
        <v>0</v>
      </c>
      <c r="D75" s="481">
        <v>3.1240000000000001</v>
      </c>
      <c r="E75" s="478">
        <v>6.6000000000000003E-2</v>
      </c>
      <c r="F75" s="479">
        <v>2E-3</v>
      </c>
      <c r="G75" s="480">
        <v>63.9</v>
      </c>
      <c r="H75" s="480">
        <v>2.0499999999999998</v>
      </c>
      <c r="I75" s="485">
        <v>4.29</v>
      </c>
      <c r="J75" s="475">
        <v>2.9000000000000001E-2</v>
      </c>
      <c r="K75" s="1"/>
    </row>
    <row r="76" spans="1:11" ht="35.049999999999997" customHeight="1" x14ac:dyDescent="0.3">
      <c r="A76" s="398" t="s">
        <v>838</v>
      </c>
      <c r="B76" s="437" t="s">
        <v>480</v>
      </c>
      <c r="C76" s="405">
        <v>0</v>
      </c>
      <c r="D76" s="481">
        <v>3.1240000000000001</v>
      </c>
      <c r="E76" s="478">
        <v>6.6000000000000003E-2</v>
      </c>
      <c r="F76" s="479">
        <v>2E-3</v>
      </c>
      <c r="G76" s="480">
        <v>1126.18</v>
      </c>
      <c r="H76" s="480">
        <v>2.0499999999999998</v>
      </c>
      <c r="I76" s="485">
        <v>4.29</v>
      </c>
      <c r="J76" s="475">
        <v>2.9000000000000001E-2</v>
      </c>
      <c r="K76" s="1"/>
    </row>
    <row r="77" spans="1:11" ht="35.049999999999997" customHeight="1" x14ac:dyDescent="0.3">
      <c r="A77" s="398" t="s">
        <v>839</v>
      </c>
      <c r="B77" s="437" t="s">
        <v>480</v>
      </c>
      <c r="C77" s="405">
        <v>0</v>
      </c>
      <c r="D77" s="481">
        <v>3.1240000000000001</v>
      </c>
      <c r="E77" s="478">
        <v>6.6000000000000003E-2</v>
      </c>
      <c r="F77" s="479">
        <v>2E-3</v>
      </c>
      <c r="G77" s="480">
        <v>2759.2</v>
      </c>
      <c r="H77" s="480">
        <v>2.0499999999999998</v>
      </c>
      <c r="I77" s="485">
        <v>4.29</v>
      </c>
      <c r="J77" s="475">
        <v>2.9000000000000001E-2</v>
      </c>
      <c r="K77" s="1"/>
    </row>
    <row r="78" spans="1:11" ht="35.049999999999997" customHeight="1" x14ac:dyDescent="0.3">
      <c r="A78" s="398" t="s">
        <v>840</v>
      </c>
      <c r="B78" s="437" t="s">
        <v>480</v>
      </c>
      <c r="C78" s="405">
        <v>0</v>
      </c>
      <c r="D78" s="481">
        <v>3.1240000000000001</v>
      </c>
      <c r="E78" s="478">
        <v>6.6000000000000003E-2</v>
      </c>
      <c r="F78" s="479">
        <v>2E-3</v>
      </c>
      <c r="G78" s="480">
        <v>5981.33</v>
      </c>
      <c r="H78" s="480">
        <v>2.0499999999999998</v>
      </c>
      <c r="I78" s="485">
        <v>4.29</v>
      </c>
      <c r="J78" s="475">
        <v>2.9000000000000001E-2</v>
      </c>
      <c r="K78" s="1"/>
    </row>
    <row r="79" spans="1:11" ht="35.049999999999997" customHeight="1" x14ac:dyDescent="0.3">
      <c r="A79" s="398" t="s">
        <v>841</v>
      </c>
      <c r="B79" s="437" t="s">
        <v>480</v>
      </c>
      <c r="C79" s="405">
        <v>0</v>
      </c>
      <c r="D79" s="481">
        <v>3.1240000000000001</v>
      </c>
      <c r="E79" s="478">
        <v>6.6000000000000003E-2</v>
      </c>
      <c r="F79" s="479">
        <v>2E-3</v>
      </c>
      <c r="G79" s="480">
        <v>14878.08</v>
      </c>
      <c r="H79" s="480">
        <v>2.0499999999999998</v>
      </c>
      <c r="I79" s="485">
        <v>4.29</v>
      </c>
      <c r="J79" s="475">
        <v>2.9000000000000001E-2</v>
      </c>
      <c r="K79" s="1"/>
    </row>
    <row r="80" spans="1:11" ht="35.049999999999997" customHeight="1" x14ac:dyDescent="0.3">
      <c r="A80" s="398" t="s">
        <v>587</v>
      </c>
      <c r="B80" s="437" t="s">
        <v>480</v>
      </c>
      <c r="C80" s="405" t="s">
        <v>616</v>
      </c>
      <c r="D80" s="477">
        <v>13.154</v>
      </c>
      <c r="E80" s="483">
        <v>0.88600000000000001</v>
      </c>
      <c r="F80" s="479">
        <v>0.66500000000000004</v>
      </c>
      <c r="G80" s="476">
        <v>0</v>
      </c>
      <c r="H80" s="476">
        <v>0</v>
      </c>
      <c r="I80" s="516">
        <v>0</v>
      </c>
      <c r="J80" s="482">
        <v>0</v>
      </c>
      <c r="K80" s="1"/>
    </row>
    <row r="81" spans="1:11" ht="35.049999999999997" customHeight="1" x14ac:dyDescent="0.3">
      <c r="A81" s="398" t="s">
        <v>691</v>
      </c>
      <c r="B81" s="437" t="s">
        <v>480</v>
      </c>
      <c r="C81" s="405">
        <v>0</v>
      </c>
      <c r="D81" s="481">
        <v>-4.7009999999999996</v>
      </c>
      <c r="E81" s="478">
        <v>-0.20300000000000001</v>
      </c>
      <c r="F81" s="479">
        <v>-1.2999999999999999E-2</v>
      </c>
      <c r="G81" s="508">
        <v>0</v>
      </c>
      <c r="H81" s="476">
        <v>0</v>
      </c>
      <c r="I81" s="516">
        <v>0</v>
      </c>
      <c r="J81" s="482">
        <v>0</v>
      </c>
      <c r="K81" s="1"/>
    </row>
    <row r="82" spans="1:11" ht="35.049999999999997" customHeight="1" x14ac:dyDescent="0.3">
      <c r="A82" s="398" t="s">
        <v>692</v>
      </c>
      <c r="B82" s="437" t="s">
        <v>480</v>
      </c>
      <c r="C82" s="405">
        <v>0</v>
      </c>
      <c r="D82" s="481">
        <v>-5.0019999999999998</v>
      </c>
      <c r="E82" s="478">
        <v>-0.20399999999999999</v>
      </c>
      <c r="F82" s="479">
        <v>-1.2E-2</v>
      </c>
      <c r="G82" s="508">
        <v>0</v>
      </c>
      <c r="H82" s="476">
        <v>0</v>
      </c>
      <c r="I82" s="516">
        <v>0</v>
      </c>
      <c r="J82" s="482">
        <v>0</v>
      </c>
      <c r="K82" s="1"/>
    </row>
    <row r="83" spans="1:11" ht="35.049999999999997" customHeight="1" x14ac:dyDescent="0.3">
      <c r="A83" s="398" t="s">
        <v>693</v>
      </c>
      <c r="B83" s="437" t="s">
        <v>480</v>
      </c>
      <c r="C83" s="405">
        <v>0</v>
      </c>
      <c r="D83" s="481">
        <v>-4.7009999999999996</v>
      </c>
      <c r="E83" s="478">
        <v>-0.20300000000000001</v>
      </c>
      <c r="F83" s="479">
        <v>-1.2999999999999999E-2</v>
      </c>
      <c r="G83" s="508">
        <v>0</v>
      </c>
      <c r="H83" s="476">
        <v>0</v>
      </c>
      <c r="I83" s="516">
        <v>0</v>
      </c>
      <c r="J83" s="475">
        <v>6.2E-2</v>
      </c>
      <c r="K83" s="1"/>
    </row>
    <row r="84" spans="1:11" ht="35.049999999999997" customHeight="1" x14ac:dyDescent="0.3">
      <c r="A84" s="398" t="s">
        <v>694</v>
      </c>
      <c r="B84" s="437" t="s">
        <v>480</v>
      </c>
      <c r="C84" s="405">
        <v>0</v>
      </c>
      <c r="D84" s="481">
        <v>-5.0019999999999998</v>
      </c>
      <c r="E84" s="478">
        <v>-0.20399999999999999</v>
      </c>
      <c r="F84" s="479">
        <v>-1.2E-2</v>
      </c>
      <c r="G84" s="508">
        <v>0</v>
      </c>
      <c r="H84" s="476">
        <v>0</v>
      </c>
      <c r="I84" s="516">
        <v>0</v>
      </c>
      <c r="J84" s="475">
        <v>5.8000000000000003E-2</v>
      </c>
      <c r="K84" s="1"/>
    </row>
    <row r="85" spans="1:11" ht="35.049999999999997" customHeight="1" x14ac:dyDescent="0.3">
      <c r="A85" s="398" t="s">
        <v>695</v>
      </c>
      <c r="B85" s="437" t="s">
        <v>480</v>
      </c>
      <c r="C85" s="405">
        <v>0</v>
      </c>
      <c r="D85" s="481">
        <v>-5.87</v>
      </c>
      <c r="E85" s="478">
        <v>-0.155</v>
      </c>
      <c r="F85" s="479">
        <v>-7.0000000000000001E-3</v>
      </c>
      <c r="G85" s="480">
        <v>72.319999999999993</v>
      </c>
      <c r="H85" s="476">
        <v>0</v>
      </c>
      <c r="I85" s="516">
        <v>0</v>
      </c>
      <c r="J85" s="475">
        <v>8.1000000000000003E-2</v>
      </c>
      <c r="K85" s="1"/>
    </row>
    <row r="86" spans="1:11" ht="35.049999999999997" customHeight="1" x14ac:dyDescent="0.3">
      <c r="A86" s="398" t="s">
        <v>842</v>
      </c>
      <c r="B86" s="437" t="s">
        <v>480</v>
      </c>
      <c r="C86" s="405" t="s">
        <v>574</v>
      </c>
      <c r="D86" s="481">
        <v>3.6629999999999998</v>
      </c>
      <c r="E86" s="478">
        <v>0.158</v>
      </c>
      <c r="F86" s="479">
        <v>0.01</v>
      </c>
      <c r="G86" s="480">
        <v>4.47</v>
      </c>
      <c r="H86" s="476">
        <v>0</v>
      </c>
      <c r="I86" s="516">
        <v>0</v>
      </c>
      <c r="J86" s="482">
        <v>0</v>
      </c>
      <c r="K86" s="1"/>
    </row>
    <row r="87" spans="1:11" ht="35.049999999999997" customHeight="1" x14ac:dyDescent="0.3">
      <c r="A87" s="398" t="s">
        <v>843</v>
      </c>
      <c r="B87" s="437" t="s">
        <v>480</v>
      </c>
      <c r="C87" s="405" t="s">
        <v>575</v>
      </c>
      <c r="D87" s="481">
        <v>3.6629999999999998</v>
      </c>
      <c r="E87" s="478">
        <v>0.158</v>
      </c>
      <c r="F87" s="479">
        <v>0.01</v>
      </c>
      <c r="G87" s="476">
        <v>0</v>
      </c>
      <c r="H87" s="476">
        <v>0</v>
      </c>
      <c r="I87" s="516">
        <v>0</v>
      </c>
      <c r="J87" s="482">
        <v>0</v>
      </c>
      <c r="K87" s="1"/>
    </row>
    <row r="88" spans="1:11" ht="35.049999999999997" customHeight="1" x14ac:dyDescent="0.3">
      <c r="A88" s="398" t="s">
        <v>844</v>
      </c>
      <c r="B88" s="437" t="s">
        <v>480</v>
      </c>
      <c r="C88" s="405" t="s">
        <v>930</v>
      </c>
      <c r="D88" s="481">
        <v>3.5009999999999999</v>
      </c>
      <c r="E88" s="478">
        <v>0.151</v>
      </c>
      <c r="F88" s="479">
        <v>8.9999999999999993E-3</v>
      </c>
      <c r="G88" s="480">
        <v>2.94</v>
      </c>
      <c r="H88" s="476">
        <v>0</v>
      </c>
      <c r="I88" s="516">
        <v>0</v>
      </c>
      <c r="J88" s="482">
        <v>0</v>
      </c>
      <c r="K88" s="1"/>
    </row>
    <row r="89" spans="1:11" ht="35.049999999999997" customHeight="1" x14ac:dyDescent="0.3">
      <c r="A89" s="398" t="s">
        <v>845</v>
      </c>
      <c r="B89" s="437" t="s">
        <v>480</v>
      </c>
      <c r="C89" s="405" t="s">
        <v>930</v>
      </c>
      <c r="D89" s="481">
        <v>3.5009999999999999</v>
      </c>
      <c r="E89" s="478">
        <v>0.151</v>
      </c>
      <c r="F89" s="479">
        <v>8.9999999999999993E-3</v>
      </c>
      <c r="G89" s="480">
        <v>4.03</v>
      </c>
      <c r="H89" s="476">
        <v>0</v>
      </c>
      <c r="I89" s="516">
        <v>0</v>
      </c>
      <c r="J89" s="482">
        <v>0</v>
      </c>
      <c r="K89" s="1"/>
    </row>
    <row r="90" spans="1:11" ht="35.049999999999997" customHeight="1" x14ac:dyDescent="0.3">
      <c r="A90" s="398" t="s">
        <v>846</v>
      </c>
      <c r="B90" s="437" t="s">
        <v>480</v>
      </c>
      <c r="C90" s="405" t="s">
        <v>930</v>
      </c>
      <c r="D90" s="481">
        <v>3.5009999999999999</v>
      </c>
      <c r="E90" s="478">
        <v>0.151</v>
      </c>
      <c r="F90" s="479">
        <v>8.9999999999999993E-3</v>
      </c>
      <c r="G90" s="480">
        <v>8.75</v>
      </c>
      <c r="H90" s="476">
        <v>0</v>
      </c>
      <c r="I90" s="516">
        <v>0</v>
      </c>
      <c r="J90" s="482">
        <v>0</v>
      </c>
      <c r="K90" s="1"/>
    </row>
    <row r="91" spans="1:11" ht="35.049999999999997" customHeight="1" x14ac:dyDescent="0.3">
      <c r="A91" s="398" t="s">
        <v>847</v>
      </c>
      <c r="B91" s="437" t="s">
        <v>480</v>
      </c>
      <c r="C91" s="405" t="s">
        <v>930</v>
      </c>
      <c r="D91" s="481">
        <v>3.5009999999999999</v>
      </c>
      <c r="E91" s="478">
        <v>0.151</v>
      </c>
      <c r="F91" s="479">
        <v>8.9999999999999993E-3</v>
      </c>
      <c r="G91" s="480">
        <v>16.649999999999999</v>
      </c>
      <c r="H91" s="476">
        <v>0</v>
      </c>
      <c r="I91" s="516">
        <v>0</v>
      </c>
      <c r="J91" s="482">
        <v>0</v>
      </c>
      <c r="K91" s="1"/>
    </row>
    <row r="92" spans="1:11" ht="35.049999999999997" customHeight="1" x14ac:dyDescent="0.3">
      <c r="A92" s="398" t="s">
        <v>848</v>
      </c>
      <c r="B92" s="437" t="s">
        <v>480</v>
      </c>
      <c r="C92" s="405" t="s">
        <v>930</v>
      </c>
      <c r="D92" s="481">
        <v>3.5009999999999999</v>
      </c>
      <c r="E92" s="478">
        <v>0.151</v>
      </c>
      <c r="F92" s="479">
        <v>8.9999999999999993E-3</v>
      </c>
      <c r="G92" s="480">
        <v>48.01</v>
      </c>
      <c r="H92" s="476">
        <v>0</v>
      </c>
      <c r="I92" s="516">
        <v>0</v>
      </c>
      <c r="J92" s="482">
        <v>0</v>
      </c>
      <c r="K92" s="1"/>
    </row>
    <row r="93" spans="1:11" ht="35.049999999999997" customHeight="1" x14ac:dyDescent="0.3">
      <c r="A93" s="398" t="s">
        <v>588</v>
      </c>
      <c r="B93" s="437" t="s">
        <v>480</v>
      </c>
      <c r="C93" s="405" t="s">
        <v>577</v>
      </c>
      <c r="D93" s="481">
        <v>3.5009999999999999</v>
      </c>
      <c r="E93" s="478">
        <v>0.151</v>
      </c>
      <c r="F93" s="479">
        <v>8.9999999999999993E-3</v>
      </c>
      <c r="G93" s="476">
        <v>0</v>
      </c>
      <c r="H93" s="476">
        <v>0</v>
      </c>
      <c r="I93" s="516">
        <v>0</v>
      </c>
      <c r="J93" s="482">
        <v>0</v>
      </c>
      <c r="K93" s="1"/>
    </row>
    <row r="94" spans="1:11" ht="35.049999999999997" customHeight="1" x14ac:dyDescent="0.3">
      <c r="A94" s="398" t="s">
        <v>849</v>
      </c>
      <c r="B94" s="437" t="s">
        <v>480</v>
      </c>
      <c r="C94" s="405">
        <v>0</v>
      </c>
      <c r="D94" s="481">
        <v>2.548</v>
      </c>
      <c r="E94" s="478">
        <v>9.9000000000000005E-2</v>
      </c>
      <c r="F94" s="479">
        <v>6.0000000000000001E-3</v>
      </c>
      <c r="G94" s="480">
        <v>3.86</v>
      </c>
      <c r="H94" s="480">
        <v>1.06</v>
      </c>
      <c r="I94" s="485">
        <v>2.1</v>
      </c>
      <c r="J94" s="475">
        <v>2.8000000000000001E-2</v>
      </c>
      <c r="K94" s="1"/>
    </row>
    <row r="95" spans="1:11" ht="35.049999999999997" customHeight="1" x14ac:dyDescent="0.3">
      <c r="A95" s="398" t="s">
        <v>850</v>
      </c>
      <c r="B95" s="437" t="s">
        <v>480</v>
      </c>
      <c r="C95" s="405">
        <v>0</v>
      </c>
      <c r="D95" s="481">
        <v>2.548</v>
      </c>
      <c r="E95" s="478">
        <v>9.9000000000000005E-2</v>
      </c>
      <c r="F95" s="479">
        <v>6.0000000000000001E-3</v>
      </c>
      <c r="G95" s="480">
        <v>75.680000000000007</v>
      </c>
      <c r="H95" s="480">
        <v>1.06</v>
      </c>
      <c r="I95" s="485">
        <v>2.1</v>
      </c>
      <c r="J95" s="475">
        <v>2.8000000000000001E-2</v>
      </c>
      <c r="K95" s="1"/>
    </row>
    <row r="96" spans="1:11" ht="35.049999999999997" customHeight="1" x14ac:dyDescent="0.3">
      <c r="A96" s="398" t="s">
        <v>851</v>
      </c>
      <c r="B96" s="437" t="s">
        <v>480</v>
      </c>
      <c r="C96" s="405">
        <v>0</v>
      </c>
      <c r="D96" s="481">
        <v>2.548</v>
      </c>
      <c r="E96" s="478">
        <v>9.9000000000000005E-2</v>
      </c>
      <c r="F96" s="479">
        <v>6.0000000000000001E-3</v>
      </c>
      <c r="G96" s="480">
        <v>138.01</v>
      </c>
      <c r="H96" s="480">
        <v>1.06</v>
      </c>
      <c r="I96" s="485">
        <v>2.1</v>
      </c>
      <c r="J96" s="475">
        <v>2.8000000000000001E-2</v>
      </c>
      <c r="K96" s="1"/>
    </row>
    <row r="97" spans="1:11" ht="35.049999999999997" customHeight="1" x14ac:dyDescent="0.3">
      <c r="A97" s="398" t="s">
        <v>852</v>
      </c>
      <c r="B97" s="437" t="s">
        <v>480</v>
      </c>
      <c r="C97" s="405">
        <v>0</v>
      </c>
      <c r="D97" s="481">
        <v>2.548</v>
      </c>
      <c r="E97" s="478">
        <v>9.9000000000000005E-2</v>
      </c>
      <c r="F97" s="479">
        <v>6.0000000000000001E-3</v>
      </c>
      <c r="G97" s="480">
        <v>211.33</v>
      </c>
      <c r="H97" s="480">
        <v>1.06</v>
      </c>
      <c r="I97" s="485">
        <v>2.1</v>
      </c>
      <c r="J97" s="475">
        <v>2.8000000000000001E-2</v>
      </c>
      <c r="K97" s="1"/>
    </row>
    <row r="98" spans="1:11" ht="35.049999999999997" customHeight="1" x14ac:dyDescent="0.3">
      <c r="A98" s="398" t="s">
        <v>853</v>
      </c>
      <c r="B98" s="437" t="s">
        <v>480</v>
      </c>
      <c r="C98" s="405">
        <v>0</v>
      </c>
      <c r="D98" s="481">
        <v>2.548</v>
      </c>
      <c r="E98" s="478">
        <v>9.9000000000000005E-2</v>
      </c>
      <c r="F98" s="479">
        <v>6.0000000000000001E-3</v>
      </c>
      <c r="G98" s="480">
        <v>450.5</v>
      </c>
      <c r="H98" s="480">
        <v>1.06</v>
      </c>
      <c r="I98" s="485">
        <v>2.1</v>
      </c>
      <c r="J98" s="475">
        <v>2.8000000000000001E-2</v>
      </c>
      <c r="K98" s="1"/>
    </row>
    <row r="99" spans="1:11" ht="35.049999999999997" customHeight="1" x14ac:dyDescent="0.3">
      <c r="A99" s="398" t="s">
        <v>854</v>
      </c>
      <c r="B99" s="437" t="s">
        <v>480</v>
      </c>
      <c r="C99" s="405">
        <v>0</v>
      </c>
      <c r="D99" s="481">
        <v>2.78</v>
      </c>
      <c r="E99" s="478">
        <v>8.2000000000000003E-2</v>
      </c>
      <c r="F99" s="479">
        <v>4.0000000000000001E-3</v>
      </c>
      <c r="G99" s="480">
        <v>4.82</v>
      </c>
      <c r="H99" s="480">
        <v>1.57</v>
      </c>
      <c r="I99" s="485">
        <v>2.86</v>
      </c>
      <c r="J99" s="475">
        <v>0.03</v>
      </c>
      <c r="K99" s="1"/>
    </row>
    <row r="100" spans="1:11" ht="35.049999999999997" customHeight="1" x14ac:dyDescent="0.3">
      <c r="A100" s="398" t="s">
        <v>855</v>
      </c>
      <c r="B100" s="437" t="s">
        <v>480</v>
      </c>
      <c r="C100" s="405">
        <v>0</v>
      </c>
      <c r="D100" s="481">
        <v>2.78</v>
      </c>
      <c r="E100" s="478">
        <v>8.2000000000000003E-2</v>
      </c>
      <c r="F100" s="479">
        <v>4.0000000000000001E-3</v>
      </c>
      <c r="G100" s="480">
        <v>121.48</v>
      </c>
      <c r="H100" s="480">
        <v>1.57</v>
      </c>
      <c r="I100" s="485">
        <v>2.86</v>
      </c>
      <c r="J100" s="475">
        <v>0.03</v>
      </c>
      <c r="K100" s="1"/>
    </row>
    <row r="101" spans="1:11" ht="35.049999999999997" customHeight="1" x14ac:dyDescent="0.3">
      <c r="A101" s="398" t="s">
        <v>856</v>
      </c>
      <c r="B101" s="437" t="s">
        <v>480</v>
      </c>
      <c r="C101" s="405">
        <v>0</v>
      </c>
      <c r="D101" s="481">
        <v>2.78</v>
      </c>
      <c r="E101" s="478">
        <v>8.2000000000000003E-2</v>
      </c>
      <c r="F101" s="479">
        <v>4.0000000000000001E-3</v>
      </c>
      <c r="G101" s="480">
        <v>222.73</v>
      </c>
      <c r="H101" s="480">
        <v>1.57</v>
      </c>
      <c r="I101" s="485">
        <v>2.86</v>
      </c>
      <c r="J101" s="475">
        <v>0.03</v>
      </c>
      <c r="K101" s="1"/>
    </row>
    <row r="102" spans="1:11" ht="35.049999999999997" customHeight="1" x14ac:dyDescent="0.3">
      <c r="A102" s="398" t="s">
        <v>857</v>
      </c>
      <c r="B102" s="437" t="s">
        <v>480</v>
      </c>
      <c r="C102" s="405">
        <v>0</v>
      </c>
      <c r="D102" s="481">
        <v>2.78</v>
      </c>
      <c r="E102" s="478">
        <v>8.2000000000000003E-2</v>
      </c>
      <c r="F102" s="479">
        <v>4.0000000000000001E-3</v>
      </c>
      <c r="G102" s="480">
        <v>341.82</v>
      </c>
      <c r="H102" s="480">
        <v>1.57</v>
      </c>
      <c r="I102" s="485">
        <v>2.86</v>
      </c>
      <c r="J102" s="475">
        <v>0.03</v>
      </c>
      <c r="K102" s="1"/>
    </row>
    <row r="103" spans="1:11" ht="35.049999999999997" customHeight="1" x14ac:dyDescent="0.3">
      <c r="A103" s="398" t="s">
        <v>858</v>
      </c>
      <c r="B103" s="437" t="s">
        <v>480</v>
      </c>
      <c r="C103" s="405">
        <v>0</v>
      </c>
      <c r="D103" s="481">
        <v>2.78</v>
      </c>
      <c r="E103" s="478">
        <v>8.2000000000000003E-2</v>
      </c>
      <c r="F103" s="479">
        <v>4.0000000000000001E-3</v>
      </c>
      <c r="G103" s="480">
        <v>730.31</v>
      </c>
      <c r="H103" s="480">
        <v>1.57</v>
      </c>
      <c r="I103" s="485">
        <v>2.86</v>
      </c>
      <c r="J103" s="475">
        <v>0.03</v>
      </c>
      <c r="K103" s="1"/>
    </row>
    <row r="104" spans="1:11" ht="35.049999999999997" customHeight="1" x14ac:dyDescent="0.3">
      <c r="A104" s="398" t="s">
        <v>859</v>
      </c>
      <c r="B104" s="437" t="s">
        <v>480</v>
      </c>
      <c r="C104" s="405">
        <v>0</v>
      </c>
      <c r="D104" s="481">
        <v>2.4289999999999998</v>
      </c>
      <c r="E104" s="478">
        <v>5.0999999999999997E-2</v>
      </c>
      <c r="F104" s="479">
        <v>2E-3</v>
      </c>
      <c r="G104" s="480">
        <v>49.74</v>
      </c>
      <c r="H104" s="480">
        <v>1.59</v>
      </c>
      <c r="I104" s="485">
        <v>3.33</v>
      </c>
      <c r="J104" s="475">
        <v>2.3E-2</v>
      </c>
      <c r="K104" s="1"/>
    </row>
    <row r="105" spans="1:11" ht="35.049999999999997" customHeight="1" x14ac:dyDescent="0.3">
      <c r="A105" s="398" t="s">
        <v>860</v>
      </c>
      <c r="B105" s="437" t="s">
        <v>480</v>
      </c>
      <c r="C105" s="405">
        <v>0</v>
      </c>
      <c r="D105" s="481">
        <v>2.4289999999999998</v>
      </c>
      <c r="E105" s="478">
        <v>5.0999999999999997E-2</v>
      </c>
      <c r="F105" s="479">
        <v>2E-3</v>
      </c>
      <c r="G105" s="480">
        <v>875.61</v>
      </c>
      <c r="H105" s="480">
        <v>1.59</v>
      </c>
      <c r="I105" s="485">
        <v>3.33</v>
      </c>
      <c r="J105" s="475">
        <v>2.3E-2</v>
      </c>
      <c r="K105" s="1"/>
    </row>
    <row r="106" spans="1:11" ht="35.049999999999997" customHeight="1" x14ac:dyDescent="0.3">
      <c r="A106" s="398" t="s">
        <v>861</v>
      </c>
      <c r="B106" s="437" t="s">
        <v>480</v>
      </c>
      <c r="C106" s="405">
        <v>0</v>
      </c>
      <c r="D106" s="481">
        <v>2.4289999999999998</v>
      </c>
      <c r="E106" s="478">
        <v>5.0999999999999997E-2</v>
      </c>
      <c r="F106" s="479">
        <v>2E-3</v>
      </c>
      <c r="G106" s="480">
        <v>2145.1999999999998</v>
      </c>
      <c r="H106" s="480">
        <v>1.59</v>
      </c>
      <c r="I106" s="485">
        <v>3.33</v>
      </c>
      <c r="J106" s="475">
        <v>2.3E-2</v>
      </c>
      <c r="K106" s="1"/>
    </row>
    <row r="107" spans="1:11" ht="35.049999999999997" customHeight="1" x14ac:dyDescent="0.3">
      <c r="A107" s="398" t="s">
        <v>862</v>
      </c>
      <c r="B107" s="437" t="s">
        <v>480</v>
      </c>
      <c r="C107" s="405">
        <v>0</v>
      </c>
      <c r="D107" s="481">
        <v>2.4289999999999998</v>
      </c>
      <c r="E107" s="478">
        <v>5.0999999999999997E-2</v>
      </c>
      <c r="F107" s="479">
        <v>2E-3</v>
      </c>
      <c r="G107" s="480">
        <v>4650.24</v>
      </c>
      <c r="H107" s="480">
        <v>1.59</v>
      </c>
      <c r="I107" s="485">
        <v>3.33</v>
      </c>
      <c r="J107" s="475">
        <v>2.3E-2</v>
      </c>
      <c r="K107" s="1"/>
    </row>
    <row r="108" spans="1:11" ht="35.049999999999997" customHeight="1" x14ac:dyDescent="0.3">
      <c r="A108" s="398" t="s">
        <v>863</v>
      </c>
      <c r="B108" s="437" t="s">
        <v>480</v>
      </c>
      <c r="C108" s="405">
        <v>0</v>
      </c>
      <c r="D108" s="481">
        <v>2.4289999999999998</v>
      </c>
      <c r="E108" s="478">
        <v>5.0999999999999997E-2</v>
      </c>
      <c r="F108" s="479">
        <v>2E-3</v>
      </c>
      <c r="G108" s="480">
        <v>11567.01</v>
      </c>
      <c r="H108" s="480">
        <v>1.59</v>
      </c>
      <c r="I108" s="485">
        <v>3.33</v>
      </c>
      <c r="J108" s="475">
        <v>2.3E-2</v>
      </c>
      <c r="K108" s="1"/>
    </row>
    <row r="109" spans="1:11" ht="35.049999999999997" customHeight="1" x14ac:dyDescent="0.3">
      <c r="A109" s="398" t="s">
        <v>589</v>
      </c>
      <c r="B109" s="437" t="s">
        <v>480</v>
      </c>
      <c r="C109" s="405" t="s">
        <v>616</v>
      </c>
      <c r="D109" s="477">
        <v>10.227</v>
      </c>
      <c r="E109" s="483">
        <v>0.68799999999999994</v>
      </c>
      <c r="F109" s="479">
        <v>0.51700000000000002</v>
      </c>
      <c r="G109" s="476">
        <v>0</v>
      </c>
      <c r="H109" s="476">
        <v>0</v>
      </c>
      <c r="I109" s="516">
        <v>0</v>
      </c>
      <c r="J109" s="482">
        <v>0</v>
      </c>
      <c r="K109" s="1"/>
    </row>
    <row r="110" spans="1:11" ht="35.049999999999997" customHeight="1" x14ac:dyDescent="0.3">
      <c r="A110" s="398" t="s">
        <v>696</v>
      </c>
      <c r="B110" s="437" t="s">
        <v>480</v>
      </c>
      <c r="C110" s="405">
        <v>0</v>
      </c>
      <c r="D110" s="481">
        <v>-3.6549999999999998</v>
      </c>
      <c r="E110" s="478">
        <v>-0.158</v>
      </c>
      <c r="F110" s="479">
        <v>-0.01</v>
      </c>
      <c r="G110" s="508">
        <v>0</v>
      </c>
      <c r="H110" s="476">
        <v>0</v>
      </c>
      <c r="I110" s="516">
        <v>0</v>
      </c>
      <c r="J110" s="482">
        <v>0</v>
      </c>
      <c r="K110" s="1"/>
    </row>
    <row r="111" spans="1:11" ht="35.049999999999997" customHeight="1" x14ac:dyDescent="0.3">
      <c r="A111" s="398" t="s">
        <v>697</v>
      </c>
      <c r="B111" s="437" t="s">
        <v>480</v>
      </c>
      <c r="C111" s="405">
        <v>0</v>
      </c>
      <c r="D111" s="481">
        <v>-3.8889999999999998</v>
      </c>
      <c r="E111" s="478">
        <v>-0.158</v>
      </c>
      <c r="F111" s="479">
        <v>-0.01</v>
      </c>
      <c r="G111" s="508">
        <v>0</v>
      </c>
      <c r="H111" s="476">
        <v>0</v>
      </c>
      <c r="I111" s="516">
        <v>0</v>
      </c>
      <c r="J111" s="482">
        <v>0</v>
      </c>
      <c r="K111" s="1"/>
    </row>
    <row r="112" spans="1:11" ht="35.049999999999997" customHeight="1" x14ac:dyDescent="0.3">
      <c r="A112" s="398" t="s">
        <v>698</v>
      </c>
      <c r="B112" s="437" t="s">
        <v>480</v>
      </c>
      <c r="C112" s="405">
        <v>0</v>
      </c>
      <c r="D112" s="481">
        <v>-3.6549999999999998</v>
      </c>
      <c r="E112" s="478">
        <v>-0.158</v>
      </c>
      <c r="F112" s="479">
        <v>-0.01</v>
      </c>
      <c r="G112" s="508">
        <v>0</v>
      </c>
      <c r="H112" s="476">
        <v>0</v>
      </c>
      <c r="I112" s="516">
        <v>0</v>
      </c>
      <c r="J112" s="475">
        <v>4.9000000000000002E-2</v>
      </c>
      <c r="K112" s="1"/>
    </row>
    <row r="113" spans="1:11" ht="35.049999999999997" customHeight="1" x14ac:dyDescent="0.3">
      <c r="A113" s="398" t="s">
        <v>699</v>
      </c>
      <c r="B113" s="437" t="s">
        <v>480</v>
      </c>
      <c r="C113" s="405">
        <v>0</v>
      </c>
      <c r="D113" s="481">
        <v>-3.8889999999999998</v>
      </c>
      <c r="E113" s="478">
        <v>-0.158</v>
      </c>
      <c r="F113" s="479">
        <v>-0.01</v>
      </c>
      <c r="G113" s="508">
        <v>0</v>
      </c>
      <c r="H113" s="476">
        <v>0</v>
      </c>
      <c r="I113" s="516">
        <v>0</v>
      </c>
      <c r="J113" s="475">
        <v>4.4999999999999998E-2</v>
      </c>
      <c r="K113" s="1"/>
    </row>
    <row r="114" spans="1:11" ht="35.049999999999997" customHeight="1" x14ac:dyDescent="0.3">
      <c r="A114" s="398" t="s">
        <v>700</v>
      </c>
      <c r="B114" s="437" t="s">
        <v>480</v>
      </c>
      <c r="C114" s="405">
        <v>0</v>
      </c>
      <c r="D114" s="481">
        <v>-4.5640000000000001</v>
      </c>
      <c r="E114" s="478">
        <v>-0.12</v>
      </c>
      <c r="F114" s="479">
        <v>-5.0000000000000001E-3</v>
      </c>
      <c r="G114" s="480">
        <v>56.23</v>
      </c>
      <c r="H114" s="476">
        <v>0</v>
      </c>
      <c r="I114" s="516">
        <v>0</v>
      </c>
      <c r="J114" s="475">
        <v>6.3E-2</v>
      </c>
      <c r="K114" s="1"/>
    </row>
    <row r="115" spans="1:11" ht="35.049999999999997" customHeight="1" x14ac:dyDescent="0.3">
      <c r="A115" s="398" t="s">
        <v>864</v>
      </c>
      <c r="B115" s="437" t="s">
        <v>480</v>
      </c>
      <c r="C115" s="405" t="s">
        <v>574</v>
      </c>
      <c r="D115" s="481">
        <v>2.7949999999999999</v>
      </c>
      <c r="E115" s="478">
        <v>0.121</v>
      </c>
      <c r="F115" s="479">
        <v>7.0000000000000001E-3</v>
      </c>
      <c r="G115" s="480">
        <v>3.5</v>
      </c>
      <c r="H115" s="476">
        <v>0</v>
      </c>
      <c r="I115" s="516">
        <v>0</v>
      </c>
      <c r="J115" s="482">
        <v>0</v>
      </c>
      <c r="K115" s="1"/>
    </row>
    <row r="116" spans="1:11" ht="35.049999999999997" customHeight="1" x14ac:dyDescent="0.3">
      <c r="A116" s="398" t="s">
        <v>865</v>
      </c>
      <c r="B116" s="437" t="s">
        <v>480</v>
      </c>
      <c r="C116" s="405" t="s">
        <v>575</v>
      </c>
      <c r="D116" s="481">
        <v>2.7949999999999999</v>
      </c>
      <c r="E116" s="478">
        <v>0.121</v>
      </c>
      <c r="F116" s="479">
        <v>7.0000000000000001E-3</v>
      </c>
      <c r="G116" s="476">
        <v>0</v>
      </c>
      <c r="H116" s="476">
        <v>0</v>
      </c>
      <c r="I116" s="516">
        <v>0</v>
      </c>
      <c r="J116" s="482">
        <v>0</v>
      </c>
      <c r="K116" s="1"/>
    </row>
    <row r="117" spans="1:11" ht="35.049999999999997" customHeight="1" x14ac:dyDescent="0.3">
      <c r="A117" s="398" t="s">
        <v>866</v>
      </c>
      <c r="B117" s="437" t="s">
        <v>480</v>
      </c>
      <c r="C117" s="405" t="s">
        <v>930</v>
      </c>
      <c r="D117" s="481">
        <v>2.6709999999999998</v>
      </c>
      <c r="E117" s="478">
        <v>0.11600000000000001</v>
      </c>
      <c r="F117" s="479">
        <v>7.0000000000000001E-3</v>
      </c>
      <c r="G117" s="480">
        <v>2.2999999999999998</v>
      </c>
      <c r="H117" s="476">
        <v>0</v>
      </c>
      <c r="I117" s="516">
        <v>0</v>
      </c>
      <c r="J117" s="482">
        <v>0</v>
      </c>
    </row>
    <row r="118" spans="1:11" ht="35.049999999999997" customHeight="1" x14ac:dyDescent="0.3">
      <c r="A118" s="398" t="s">
        <v>867</v>
      </c>
      <c r="B118" s="437" t="s">
        <v>480</v>
      </c>
      <c r="C118" s="405" t="s">
        <v>930</v>
      </c>
      <c r="D118" s="481">
        <v>2.6709999999999998</v>
      </c>
      <c r="E118" s="478">
        <v>0.11600000000000001</v>
      </c>
      <c r="F118" s="479">
        <v>7.0000000000000001E-3</v>
      </c>
      <c r="G118" s="480">
        <v>3.14</v>
      </c>
      <c r="H118" s="476">
        <v>0</v>
      </c>
      <c r="I118" s="516">
        <v>0</v>
      </c>
      <c r="J118" s="482">
        <v>0</v>
      </c>
    </row>
    <row r="119" spans="1:11" ht="35.049999999999997" customHeight="1" x14ac:dyDescent="0.3">
      <c r="A119" s="398" t="s">
        <v>868</v>
      </c>
      <c r="B119" s="437" t="s">
        <v>480</v>
      </c>
      <c r="C119" s="405" t="s">
        <v>930</v>
      </c>
      <c r="D119" s="481">
        <v>2.6709999999999998</v>
      </c>
      <c r="E119" s="478">
        <v>0.11600000000000001</v>
      </c>
      <c r="F119" s="479">
        <v>7.0000000000000001E-3</v>
      </c>
      <c r="G119" s="480">
        <v>6.74</v>
      </c>
      <c r="H119" s="476">
        <v>0</v>
      </c>
      <c r="I119" s="516">
        <v>0</v>
      </c>
      <c r="J119" s="482">
        <v>0</v>
      </c>
    </row>
    <row r="120" spans="1:11" ht="35.049999999999997" customHeight="1" x14ac:dyDescent="0.3">
      <c r="A120" s="398" t="s">
        <v>869</v>
      </c>
      <c r="B120" s="437" t="s">
        <v>480</v>
      </c>
      <c r="C120" s="405" t="s">
        <v>930</v>
      </c>
      <c r="D120" s="481">
        <v>2.6709999999999998</v>
      </c>
      <c r="E120" s="478">
        <v>0.11600000000000001</v>
      </c>
      <c r="F120" s="479">
        <v>7.0000000000000001E-3</v>
      </c>
      <c r="G120" s="480">
        <v>12.77</v>
      </c>
      <c r="H120" s="476">
        <v>0</v>
      </c>
      <c r="I120" s="516">
        <v>0</v>
      </c>
      <c r="J120" s="482">
        <v>0</v>
      </c>
    </row>
    <row r="121" spans="1:11" ht="35.049999999999997" customHeight="1" x14ac:dyDescent="0.3">
      <c r="A121" s="398" t="s">
        <v>870</v>
      </c>
      <c r="B121" s="437" t="s">
        <v>480</v>
      </c>
      <c r="C121" s="405" t="s">
        <v>930</v>
      </c>
      <c r="D121" s="481">
        <v>2.6709999999999998</v>
      </c>
      <c r="E121" s="478">
        <v>0.11600000000000001</v>
      </c>
      <c r="F121" s="479">
        <v>7.0000000000000001E-3</v>
      </c>
      <c r="G121" s="480">
        <v>36.69</v>
      </c>
      <c r="H121" s="476">
        <v>0</v>
      </c>
      <c r="I121" s="516">
        <v>0</v>
      </c>
      <c r="J121" s="482">
        <v>0</v>
      </c>
    </row>
    <row r="122" spans="1:11" ht="35.049999999999997" customHeight="1" x14ac:dyDescent="0.3">
      <c r="A122" s="398" t="s">
        <v>590</v>
      </c>
      <c r="B122" s="437" t="s">
        <v>480</v>
      </c>
      <c r="C122" s="405" t="s">
        <v>577</v>
      </c>
      <c r="D122" s="481">
        <v>2.6709999999999998</v>
      </c>
      <c r="E122" s="478">
        <v>0.11600000000000001</v>
      </c>
      <c r="F122" s="479">
        <v>7.0000000000000001E-3</v>
      </c>
      <c r="G122" s="476">
        <v>0</v>
      </c>
      <c r="H122" s="476">
        <v>0</v>
      </c>
      <c r="I122" s="516">
        <v>0</v>
      </c>
      <c r="J122" s="482">
        <v>0</v>
      </c>
    </row>
    <row r="123" spans="1:11" ht="35.049999999999997" customHeight="1" x14ac:dyDescent="0.3">
      <c r="A123" s="398" t="s">
        <v>871</v>
      </c>
      <c r="B123" s="437" t="s">
        <v>480</v>
      </c>
      <c r="C123" s="405">
        <v>0</v>
      </c>
      <c r="D123" s="481">
        <v>1.944</v>
      </c>
      <c r="E123" s="478">
        <v>7.5999999999999998E-2</v>
      </c>
      <c r="F123" s="479">
        <v>4.0000000000000001E-3</v>
      </c>
      <c r="G123" s="480">
        <v>3.01</v>
      </c>
      <c r="H123" s="480">
        <v>0.81</v>
      </c>
      <c r="I123" s="485">
        <v>1.6</v>
      </c>
      <c r="J123" s="475">
        <v>2.1000000000000001E-2</v>
      </c>
    </row>
    <row r="124" spans="1:11" ht="35.049999999999997" customHeight="1" x14ac:dyDescent="0.3">
      <c r="A124" s="398" t="s">
        <v>872</v>
      </c>
      <c r="B124" s="437" t="s">
        <v>480</v>
      </c>
      <c r="C124" s="405">
        <v>0</v>
      </c>
      <c r="D124" s="481">
        <v>1.944</v>
      </c>
      <c r="E124" s="478">
        <v>7.5999999999999998E-2</v>
      </c>
      <c r="F124" s="479">
        <v>4.0000000000000001E-3</v>
      </c>
      <c r="G124" s="480">
        <v>57.81</v>
      </c>
      <c r="H124" s="480">
        <v>0.81</v>
      </c>
      <c r="I124" s="485">
        <v>1.6</v>
      </c>
      <c r="J124" s="475">
        <v>2.1000000000000001E-2</v>
      </c>
    </row>
    <row r="125" spans="1:11" ht="35.049999999999997" customHeight="1" x14ac:dyDescent="0.3">
      <c r="A125" s="398" t="s">
        <v>873</v>
      </c>
      <c r="B125" s="437" t="s">
        <v>480</v>
      </c>
      <c r="C125" s="405">
        <v>0</v>
      </c>
      <c r="D125" s="481">
        <v>1.944</v>
      </c>
      <c r="E125" s="478">
        <v>7.5999999999999998E-2</v>
      </c>
      <c r="F125" s="479">
        <v>4.0000000000000001E-3</v>
      </c>
      <c r="G125" s="480">
        <v>105.36</v>
      </c>
      <c r="H125" s="480">
        <v>0.81</v>
      </c>
      <c r="I125" s="485">
        <v>1.6</v>
      </c>
      <c r="J125" s="475">
        <v>2.1000000000000001E-2</v>
      </c>
    </row>
    <row r="126" spans="1:11" ht="35.049999999999997" customHeight="1" x14ac:dyDescent="0.3">
      <c r="A126" s="398" t="s">
        <v>874</v>
      </c>
      <c r="B126" s="437" t="s">
        <v>480</v>
      </c>
      <c r="C126" s="405">
        <v>0</v>
      </c>
      <c r="D126" s="481">
        <v>1.944</v>
      </c>
      <c r="E126" s="478">
        <v>7.5999999999999998E-2</v>
      </c>
      <c r="F126" s="479">
        <v>4.0000000000000001E-3</v>
      </c>
      <c r="G126" s="480">
        <v>161.30000000000001</v>
      </c>
      <c r="H126" s="480">
        <v>0.81</v>
      </c>
      <c r="I126" s="485">
        <v>1.6</v>
      </c>
      <c r="J126" s="475">
        <v>2.1000000000000001E-2</v>
      </c>
    </row>
    <row r="127" spans="1:11" ht="35.049999999999997" customHeight="1" x14ac:dyDescent="0.3">
      <c r="A127" s="398" t="s">
        <v>875</v>
      </c>
      <c r="B127" s="437" t="s">
        <v>480</v>
      </c>
      <c r="C127" s="405">
        <v>0</v>
      </c>
      <c r="D127" s="481">
        <v>1.944</v>
      </c>
      <c r="E127" s="478">
        <v>7.5999999999999998E-2</v>
      </c>
      <c r="F127" s="479">
        <v>4.0000000000000001E-3</v>
      </c>
      <c r="G127" s="480">
        <v>343.79</v>
      </c>
      <c r="H127" s="480">
        <v>0.81</v>
      </c>
      <c r="I127" s="485">
        <v>1.6</v>
      </c>
      <c r="J127" s="475">
        <v>2.1000000000000001E-2</v>
      </c>
    </row>
    <row r="128" spans="1:11" ht="35.049999999999997" customHeight="1" x14ac:dyDescent="0.3">
      <c r="A128" s="398" t="s">
        <v>876</v>
      </c>
      <c r="B128" s="437" t="s">
        <v>480</v>
      </c>
      <c r="C128" s="405">
        <v>0</v>
      </c>
      <c r="D128" s="481">
        <v>2.121</v>
      </c>
      <c r="E128" s="478">
        <v>6.3E-2</v>
      </c>
      <c r="F128" s="479">
        <v>3.0000000000000001E-3</v>
      </c>
      <c r="G128" s="480">
        <v>3.74</v>
      </c>
      <c r="H128" s="480">
        <v>1.2</v>
      </c>
      <c r="I128" s="485">
        <v>2.1800000000000002</v>
      </c>
      <c r="J128" s="475">
        <v>2.3E-2</v>
      </c>
    </row>
    <row r="129" spans="1:10" ht="35.049999999999997" customHeight="1" x14ac:dyDescent="0.3">
      <c r="A129" s="398" t="s">
        <v>877</v>
      </c>
      <c r="B129" s="437" t="s">
        <v>480</v>
      </c>
      <c r="C129" s="405">
        <v>0</v>
      </c>
      <c r="D129" s="481">
        <v>2.121</v>
      </c>
      <c r="E129" s="478">
        <v>6.3E-2</v>
      </c>
      <c r="F129" s="479">
        <v>3.0000000000000001E-3</v>
      </c>
      <c r="G129" s="480">
        <v>92.75</v>
      </c>
      <c r="H129" s="480">
        <v>1.2</v>
      </c>
      <c r="I129" s="485">
        <v>2.1800000000000002</v>
      </c>
      <c r="J129" s="475">
        <v>2.3E-2</v>
      </c>
    </row>
    <row r="130" spans="1:10" ht="35.049999999999997" customHeight="1" x14ac:dyDescent="0.3">
      <c r="A130" s="398" t="s">
        <v>878</v>
      </c>
      <c r="B130" s="437" t="s">
        <v>480</v>
      </c>
      <c r="C130" s="405">
        <v>0</v>
      </c>
      <c r="D130" s="481">
        <v>2.121</v>
      </c>
      <c r="E130" s="478">
        <v>6.3E-2</v>
      </c>
      <c r="F130" s="479">
        <v>3.0000000000000001E-3</v>
      </c>
      <c r="G130" s="480">
        <v>170</v>
      </c>
      <c r="H130" s="480">
        <v>1.2</v>
      </c>
      <c r="I130" s="485">
        <v>2.1800000000000002</v>
      </c>
      <c r="J130" s="475">
        <v>2.3E-2</v>
      </c>
    </row>
    <row r="131" spans="1:10" ht="35.049999999999997" customHeight="1" x14ac:dyDescent="0.3">
      <c r="A131" s="398" t="s">
        <v>879</v>
      </c>
      <c r="B131" s="437" t="s">
        <v>480</v>
      </c>
      <c r="C131" s="405">
        <v>0</v>
      </c>
      <c r="D131" s="481">
        <v>2.121</v>
      </c>
      <c r="E131" s="478">
        <v>6.3E-2</v>
      </c>
      <c r="F131" s="479">
        <v>3.0000000000000001E-3</v>
      </c>
      <c r="G131" s="480">
        <v>260.86</v>
      </c>
      <c r="H131" s="480">
        <v>1.2</v>
      </c>
      <c r="I131" s="485">
        <v>2.1800000000000002</v>
      </c>
      <c r="J131" s="475">
        <v>2.3E-2</v>
      </c>
    </row>
    <row r="132" spans="1:10" ht="35.049999999999997" customHeight="1" x14ac:dyDescent="0.3">
      <c r="A132" s="398" t="s">
        <v>880</v>
      </c>
      <c r="B132" s="437" t="s">
        <v>480</v>
      </c>
      <c r="C132" s="405">
        <v>0</v>
      </c>
      <c r="D132" s="481">
        <v>2.121</v>
      </c>
      <c r="E132" s="478">
        <v>6.3E-2</v>
      </c>
      <c r="F132" s="479">
        <v>3.0000000000000001E-3</v>
      </c>
      <c r="G132" s="480">
        <v>557.27</v>
      </c>
      <c r="H132" s="480">
        <v>1.2</v>
      </c>
      <c r="I132" s="485">
        <v>2.1800000000000002</v>
      </c>
      <c r="J132" s="475">
        <v>2.3E-2</v>
      </c>
    </row>
    <row r="133" spans="1:10" ht="35.049999999999997" customHeight="1" x14ac:dyDescent="0.3">
      <c r="A133" s="398" t="s">
        <v>881</v>
      </c>
      <c r="B133" s="437" t="s">
        <v>480</v>
      </c>
      <c r="C133" s="405">
        <v>0</v>
      </c>
      <c r="D133" s="481">
        <v>1.853</v>
      </c>
      <c r="E133" s="478">
        <v>3.9E-2</v>
      </c>
      <c r="F133" s="479">
        <v>1E-3</v>
      </c>
      <c r="G133" s="480">
        <v>38.01</v>
      </c>
      <c r="H133" s="480">
        <v>1.22</v>
      </c>
      <c r="I133" s="485">
        <v>2.54</v>
      </c>
      <c r="J133" s="475">
        <v>1.7000000000000001E-2</v>
      </c>
    </row>
    <row r="134" spans="1:10" ht="35.049999999999997" customHeight="1" x14ac:dyDescent="0.3">
      <c r="A134" s="398" t="s">
        <v>882</v>
      </c>
      <c r="B134" s="437" t="s">
        <v>480</v>
      </c>
      <c r="C134" s="405">
        <v>0</v>
      </c>
      <c r="D134" s="481">
        <v>1.853</v>
      </c>
      <c r="E134" s="478">
        <v>3.9E-2</v>
      </c>
      <c r="F134" s="479">
        <v>1E-3</v>
      </c>
      <c r="G134" s="480">
        <v>668.13</v>
      </c>
      <c r="H134" s="480">
        <v>1.22</v>
      </c>
      <c r="I134" s="485">
        <v>2.54</v>
      </c>
      <c r="J134" s="475">
        <v>1.7000000000000001E-2</v>
      </c>
    </row>
    <row r="135" spans="1:10" ht="35.049999999999997" customHeight="1" x14ac:dyDescent="0.3">
      <c r="A135" s="398" t="s">
        <v>883</v>
      </c>
      <c r="B135" s="437" t="s">
        <v>480</v>
      </c>
      <c r="C135" s="405">
        <v>0</v>
      </c>
      <c r="D135" s="481">
        <v>1.853</v>
      </c>
      <c r="E135" s="478">
        <v>3.9E-2</v>
      </c>
      <c r="F135" s="479">
        <v>1E-3</v>
      </c>
      <c r="G135" s="480">
        <v>1636.8</v>
      </c>
      <c r="H135" s="480">
        <v>1.22</v>
      </c>
      <c r="I135" s="485">
        <v>2.54</v>
      </c>
      <c r="J135" s="475">
        <v>1.7000000000000001E-2</v>
      </c>
    </row>
    <row r="136" spans="1:10" ht="35.049999999999997" customHeight="1" x14ac:dyDescent="0.3">
      <c r="A136" s="398" t="s">
        <v>884</v>
      </c>
      <c r="B136" s="437" t="s">
        <v>480</v>
      </c>
      <c r="C136" s="405">
        <v>0</v>
      </c>
      <c r="D136" s="481">
        <v>1.853</v>
      </c>
      <c r="E136" s="478">
        <v>3.9E-2</v>
      </c>
      <c r="F136" s="479">
        <v>1E-3</v>
      </c>
      <c r="G136" s="480">
        <v>3548.09</v>
      </c>
      <c r="H136" s="480">
        <v>1.22</v>
      </c>
      <c r="I136" s="485">
        <v>2.54</v>
      </c>
      <c r="J136" s="475">
        <v>1.7000000000000001E-2</v>
      </c>
    </row>
    <row r="137" spans="1:10" ht="35.049999999999997" customHeight="1" x14ac:dyDescent="0.3">
      <c r="A137" s="398" t="s">
        <v>885</v>
      </c>
      <c r="B137" s="437" t="s">
        <v>480</v>
      </c>
      <c r="C137" s="405">
        <v>0</v>
      </c>
      <c r="D137" s="481">
        <v>1.853</v>
      </c>
      <c r="E137" s="478">
        <v>3.9E-2</v>
      </c>
      <c r="F137" s="479">
        <v>1E-3</v>
      </c>
      <c r="G137" s="480">
        <v>8825.43</v>
      </c>
      <c r="H137" s="480">
        <v>1.22</v>
      </c>
      <c r="I137" s="485">
        <v>2.54</v>
      </c>
      <c r="J137" s="475">
        <v>1.7000000000000001E-2</v>
      </c>
    </row>
    <row r="138" spans="1:10" ht="35.049999999999997" customHeight="1" x14ac:dyDescent="0.3">
      <c r="A138" s="398" t="s">
        <v>591</v>
      </c>
      <c r="B138" s="437" t="s">
        <v>480</v>
      </c>
      <c r="C138" s="405" t="s">
        <v>616</v>
      </c>
      <c r="D138" s="477">
        <v>7.8029999999999999</v>
      </c>
      <c r="E138" s="483">
        <v>0.52500000000000002</v>
      </c>
      <c r="F138" s="479">
        <v>0.39500000000000002</v>
      </c>
      <c r="G138" s="476">
        <v>0</v>
      </c>
      <c r="H138" s="476">
        <v>0</v>
      </c>
      <c r="I138" s="516">
        <v>0</v>
      </c>
      <c r="J138" s="482">
        <v>0</v>
      </c>
    </row>
    <row r="139" spans="1:10" ht="35.049999999999997" customHeight="1" x14ac:dyDescent="0.3">
      <c r="A139" s="398" t="s">
        <v>701</v>
      </c>
      <c r="B139" s="437" t="s">
        <v>480</v>
      </c>
      <c r="C139" s="405">
        <v>0</v>
      </c>
      <c r="D139" s="481">
        <v>-2.7890000000000001</v>
      </c>
      <c r="E139" s="478">
        <v>-0.121</v>
      </c>
      <c r="F139" s="479">
        <v>-7.0000000000000001E-3</v>
      </c>
      <c r="G139" s="508">
        <v>0</v>
      </c>
      <c r="H139" s="476">
        <v>0</v>
      </c>
      <c r="I139" s="516">
        <v>0</v>
      </c>
      <c r="J139" s="482">
        <v>0</v>
      </c>
    </row>
    <row r="140" spans="1:10" ht="35.049999999999997" customHeight="1" x14ac:dyDescent="0.3">
      <c r="A140" s="398" t="s">
        <v>702</v>
      </c>
      <c r="B140" s="437" t="s">
        <v>480</v>
      </c>
      <c r="C140" s="405">
        <v>0</v>
      </c>
      <c r="D140" s="481">
        <v>-2.9670000000000001</v>
      </c>
      <c r="E140" s="478">
        <v>-0.121</v>
      </c>
      <c r="F140" s="479">
        <v>-7.0000000000000001E-3</v>
      </c>
      <c r="G140" s="508">
        <v>0</v>
      </c>
      <c r="H140" s="476">
        <v>0</v>
      </c>
      <c r="I140" s="516">
        <v>0</v>
      </c>
      <c r="J140" s="482">
        <v>0</v>
      </c>
    </row>
    <row r="141" spans="1:10" ht="35.049999999999997" customHeight="1" x14ac:dyDescent="0.3">
      <c r="A141" s="398" t="s">
        <v>703</v>
      </c>
      <c r="B141" s="437" t="s">
        <v>480</v>
      </c>
      <c r="C141" s="405">
        <v>0</v>
      </c>
      <c r="D141" s="481">
        <v>-2.7890000000000001</v>
      </c>
      <c r="E141" s="478">
        <v>-0.121</v>
      </c>
      <c r="F141" s="479">
        <v>-7.0000000000000001E-3</v>
      </c>
      <c r="G141" s="508">
        <v>0</v>
      </c>
      <c r="H141" s="476">
        <v>0</v>
      </c>
      <c r="I141" s="516">
        <v>0</v>
      </c>
      <c r="J141" s="475">
        <v>3.6999999999999998E-2</v>
      </c>
    </row>
    <row r="142" spans="1:10" ht="35.049999999999997" customHeight="1" x14ac:dyDescent="0.3">
      <c r="A142" s="398" t="s">
        <v>704</v>
      </c>
      <c r="B142" s="437" t="s">
        <v>480</v>
      </c>
      <c r="C142" s="405">
        <v>0</v>
      </c>
      <c r="D142" s="481">
        <v>-2.9670000000000001</v>
      </c>
      <c r="E142" s="478">
        <v>-0.121</v>
      </c>
      <c r="F142" s="479">
        <v>-7.0000000000000001E-3</v>
      </c>
      <c r="G142" s="508">
        <v>0</v>
      </c>
      <c r="H142" s="476">
        <v>0</v>
      </c>
      <c r="I142" s="516">
        <v>0</v>
      </c>
      <c r="J142" s="475">
        <v>3.4000000000000002E-2</v>
      </c>
    </row>
    <row r="143" spans="1:10" ht="35.049999999999997" customHeight="1" x14ac:dyDescent="0.3">
      <c r="A143" s="398" t="s">
        <v>705</v>
      </c>
      <c r="B143" s="437" t="s">
        <v>480</v>
      </c>
      <c r="C143" s="405">
        <v>0</v>
      </c>
      <c r="D143" s="481">
        <v>-3.4820000000000002</v>
      </c>
      <c r="E143" s="478">
        <v>-9.1999999999999998E-2</v>
      </c>
      <c r="F143" s="479">
        <v>-4.0000000000000001E-3</v>
      </c>
      <c r="G143" s="480">
        <v>42.9</v>
      </c>
      <c r="H143" s="476">
        <v>0</v>
      </c>
      <c r="I143" s="516">
        <v>0</v>
      </c>
      <c r="J143" s="475">
        <v>4.8000000000000001E-2</v>
      </c>
    </row>
    <row r="144" spans="1:10" ht="35.049999999999997" customHeight="1" x14ac:dyDescent="0.3">
      <c r="A144" s="398" t="s">
        <v>886</v>
      </c>
      <c r="B144" s="437" t="s">
        <v>480</v>
      </c>
      <c r="C144" s="405" t="s">
        <v>574</v>
      </c>
      <c r="D144" s="481">
        <v>1.9410000000000001</v>
      </c>
      <c r="E144" s="478">
        <v>8.4000000000000005E-2</v>
      </c>
      <c r="F144" s="479">
        <v>5.0000000000000001E-3</v>
      </c>
      <c r="G144" s="480">
        <v>2.54</v>
      </c>
      <c r="H144" s="476">
        <v>0</v>
      </c>
      <c r="I144" s="516">
        <v>0</v>
      </c>
      <c r="J144" s="482">
        <v>0</v>
      </c>
    </row>
    <row r="145" spans="1:10" ht="35.049999999999997" customHeight="1" x14ac:dyDescent="0.3">
      <c r="A145" s="398" t="s">
        <v>887</v>
      </c>
      <c r="B145" s="437" t="s">
        <v>480</v>
      </c>
      <c r="C145" s="405" t="s">
        <v>575</v>
      </c>
      <c r="D145" s="481">
        <v>1.9410000000000001</v>
      </c>
      <c r="E145" s="478">
        <v>8.4000000000000005E-2</v>
      </c>
      <c r="F145" s="479">
        <v>5.0000000000000001E-3</v>
      </c>
      <c r="G145" s="476">
        <v>0</v>
      </c>
      <c r="H145" s="476">
        <v>0</v>
      </c>
      <c r="I145" s="516">
        <v>0</v>
      </c>
      <c r="J145" s="482">
        <v>0</v>
      </c>
    </row>
    <row r="146" spans="1:10" ht="35.049999999999997" customHeight="1" x14ac:dyDescent="0.3">
      <c r="A146" s="398" t="s">
        <v>888</v>
      </c>
      <c r="B146" s="437" t="s">
        <v>480</v>
      </c>
      <c r="C146" s="405" t="s">
        <v>930</v>
      </c>
      <c r="D146" s="481">
        <v>1.855</v>
      </c>
      <c r="E146" s="478">
        <v>0.08</v>
      </c>
      <c r="F146" s="479">
        <v>5.0000000000000001E-3</v>
      </c>
      <c r="G146" s="480">
        <v>1.68</v>
      </c>
      <c r="H146" s="476">
        <v>0</v>
      </c>
      <c r="I146" s="516">
        <v>0</v>
      </c>
      <c r="J146" s="482">
        <v>0</v>
      </c>
    </row>
    <row r="147" spans="1:10" ht="35.049999999999997" customHeight="1" x14ac:dyDescent="0.3">
      <c r="A147" s="398" t="s">
        <v>889</v>
      </c>
      <c r="B147" s="437" t="s">
        <v>480</v>
      </c>
      <c r="C147" s="405" t="s">
        <v>930</v>
      </c>
      <c r="D147" s="481">
        <v>1.855</v>
      </c>
      <c r="E147" s="478">
        <v>0.08</v>
      </c>
      <c r="F147" s="479">
        <v>5.0000000000000001E-3</v>
      </c>
      <c r="G147" s="480">
        <v>2.2599999999999998</v>
      </c>
      <c r="H147" s="476">
        <v>0</v>
      </c>
      <c r="I147" s="516">
        <v>0</v>
      </c>
      <c r="J147" s="482">
        <v>0</v>
      </c>
    </row>
    <row r="148" spans="1:10" ht="35.049999999999997" customHeight="1" x14ac:dyDescent="0.3">
      <c r="A148" s="398" t="s">
        <v>890</v>
      </c>
      <c r="B148" s="437" t="s">
        <v>480</v>
      </c>
      <c r="C148" s="405" t="s">
        <v>930</v>
      </c>
      <c r="D148" s="481">
        <v>1.855</v>
      </c>
      <c r="E148" s="478">
        <v>0.08</v>
      </c>
      <c r="F148" s="479">
        <v>5.0000000000000001E-3</v>
      </c>
      <c r="G148" s="480">
        <v>4.76</v>
      </c>
      <c r="H148" s="476">
        <v>0</v>
      </c>
      <c r="I148" s="516">
        <v>0</v>
      </c>
      <c r="J148" s="482">
        <v>0</v>
      </c>
    </row>
    <row r="149" spans="1:10" ht="35.049999999999997" customHeight="1" x14ac:dyDescent="0.3">
      <c r="A149" s="398" t="s">
        <v>891</v>
      </c>
      <c r="B149" s="437" t="s">
        <v>480</v>
      </c>
      <c r="C149" s="405" t="s">
        <v>930</v>
      </c>
      <c r="D149" s="481">
        <v>1.855</v>
      </c>
      <c r="E149" s="478">
        <v>0.08</v>
      </c>
      <c r="F149" s="479">
        <v>5.0000000000000001E-3</v>
      </c>
      <c r="G149" s="480">
        <v>8.9499999999999993</v>
      </c>
      <c r="H149" s="476">
        <v>0</v>
      </c>
      <c r="I149" s="516">
        <v>0</v>
      </c>
      <c r="J149" s="482">
        <v>0</v>
      </c>
    </row>
    <row r="150" spans="1:10" ht="35.049999999999997" customHeight="1" x14ac:dyDescent="0.3">
      <c r="A150" s="398" t="s">
        <v>892</v>
      </c>
      <c r="B150" s="437" t="s">
        <v>480</v>
      </c>
      <c r="C150" s="405" t="s">
        <v>930</v>
      </c>
      <c r="D150" s="481">
        <v>1.855</v>
      </c>
      <c r="E150" s="478">
        <v>0.08</v>
      </c>
      <c r="F150" s="479">
        <v>5.0000000000000001E-3</v>
      </c>
      <c r="G150" s="480">
        <v>25.56</v>
      </c>
      <c r="H150" s="476">
        <v>0</v>
      </c>
      <c r="I150" s="516">
        <v>0</v>
      </c>
      <c r="J150" s="482">
        <v>0</v>
      </c>
    </row>
    <row r="151" spans="1:10" ht="35.049999999999997" customHeight="1" x14ac:dyDescent="0.3">
      <c r="A151" s="398" t="s">
        <v>592</v>
      </c>
      <c r="B151" s="437" t="s">
        <v>480</v>
      </c>
      <c r="C151" s="405" t="s">
        <v>577</v>
      </c>
      <c r="D151" s="481">
        <v>1.855</v>
      </c>
      <c r="E151" s="478">
        <v>0.08</v>
      </c>
      <c r="F151" s="479">
        <v>5.0000000000000001E-3</v>
      </c>
      <c r="G151" s="476">
        <v>0</v>
      </c>
      <c r="H151" s="476">
        <v>0</v>
      </c>
      <c r="I151" s="516">
        <v>0</v>
      </c>
      <c r="J151" s="482">
        <v>0</v>
      </c>
    </row>
    <row r="152" spans="1:10" ht="35.049999999999997" customHeight="1" x14ac:dyDescent="0.3">
      <c r="A152" s="398" t="s">
        <v>893</v>
      </c>
      <c r="B152" s="437" t="s">
        <v>480</v>
      </c>
      <c r="C152" s="405">
        <v>0</v>
      </c>
      <c r="D152" s="481">
        <v>1.35</v>
      </c>
      <c r="E152" s="478">
        <v>5.2999999999999999E-2</v>
      </c>
      <c r="F152" s="479">
        <v>3.0000000000000001E-3</v>
      </c>
      <c r="G152" s="480">
        <v>2.17</v>
      </c>
      <c r="H152" s="480">
        <v>0.56000000000000005</v>
      </c>
      <c r="I152" s="485">
        <v>1.1100000000000001</v>
      </c>
      <c r="J152" s="475">
        <v>1.4999999999999999E-2</v>
      </c>
    </row>
    <row r="153" spans="1:10" ht="35.049999999999997" customHeight="1" x14ac:dyDescent="0.3">
      <c r="A153" s="398" t="s">
        <v>894</v>
      </c>
      <c r="B153" s="437" t="s">
        <v>480</v>
      </c>
      <c r="C153" s="405">
        <v>0</v>
      </c>
      <c r="D153" s="481">
        <v>1.35</v>
      </c>
      <c r="E153" s="478">
        <v>5.2999999999999999E-2</v>
      </c>
      <c r="F153" s="479">
        <v>3.0000000000000001E-3</v>
      </c>
      <c r="G153" s="480">
        <v>40.22</v>
      </c>
      <c r="H153" s="480">
        <v>0.56000000000000005</v>
      </c>
      <c r="I153" s="485">
        <v>1.1100000000000001</v>
      </c>
      <c r="J153" s="475">
        <v>1.4999999999999999E-2</v>
      </c>
    </row>
    <row r="154" spans="1:10" ht="35.049999999999997" customHeight="1" x14ac:dyDescent="0.3">
      <c r="A154" s="398" t="s">
        <v>895</v>
      </c>
      <c r="B154" s="437" t="s">
        <v>480</v>
      </c>
      <c r="C154" s="405">
        <v>0</v>
      </c>
      <c r="D154" s="481">
        <v>1.35</v>
      </c>
      <c r="E154" s="478">
        <v>5.2999999999999999E-2</v>
      </c>
      <c r="F154" s="479">
        <v>3.0000000000000001E-3</v>
      </c>
      <c r="G154" s="480">
        <v>73.239999999999995</v>
      </c>
      <c r="H154" s="480">
        <v>0.56000000000000005</v>
      </c>
      <c r="I154" s="485">
        <v>1.1100000000000001</v>
      </c>
      <c r="J154" s="475">
        <v>1.4999999999999999E-2</v>
      </c>
    </row>
    <row r="155" spans="1:10" ht="35.049999999999997" customHeight="1" x14ac:dyDescent="0.3">
      <c r="A155" s="398" t="s">
        <v>896</v>
      </c>
      <c r="B155" s="437" t="s">
        <v>480</v>
      </c>
      <c r="C155" s="405">
        <v>0</v>
      </c>
      <c r="D155" s="481">
        <v>1.35</v>
      </c>
      <c r="E155" s="478">
        <v>5.2999999999999999E-2</v>
      </c>
      <c r="F155" s="479">
        <v>3.0000000000000001E-3</v>
      </c>
      <c r="G155" s="480">
        <v>112.08</v>
      </c>
      <c r="H155" s="480">
        <v>0.56000000000000005</v>
      </c>
      <c r="I155" s="485">
        <v>1.1100000000000001</v>
      </c>
      <c r="J155" s="475">
        <v>1.4999999999999999E-2</v>
      </c>
    </row>
    <row r="156" spans="1:10" ht="35.049999999999997" customHeight="1" x14ac:dyDescent="0.3">
      <c r="A156" s="398" t="s">
        <v>897</v>
      </c>
      <c r="B156" s="437" t="s">
        <v>480</v>
      </c>
      <c r="C156" s="405">
        <v>0</v>
      </c>
      <c r="D156" s="481">
        <v>1.35</v>
      </c>
      <c r="E156" s="478">
        <v>5.2999999999999999E-2</v>
      </c>
      <c r="F156" s="479">
        <v>3.0000000000000001E-3</v>
      </c>
      <c r="G156" s="480">
        <v>238.79</v>
      </c>
      <c r="H156" s="480">
        <v>0.56000000000000005</v>
      </c>
      <c r="I156" s="485">
        <v>1.1100000000000001</v>
      </c>
      <c r="J156" s="475">
        <v>1.4999999999999999E-2</v>
      </c>
    </row>
    <row r="157" spans="1:10" ht="35.049999999999997" customHeight="1" x14ac:dyDescent="0.3">
      <c r="A157" s="398" t="s">
        <v>898</v>
      </c>
      <c r="B157" s="437" t="s">
        <v>480</v>
      </c>
      <c r="C157" s="405">
        <v>0</v>
      </c>
      <c r="D157" s="481">
        <v>1.4730000000000001</v>
      </c>
      <c r="E157" s="478">
        <v>4.2999999999999997E-2</v>
      </c>
      <c r="F157" s="479">
        <v>2E-3</v>
      </c>
      <c r="G157" s="480">
        <v>2.68</v>
      </c>
      <c r="H157" s="480">
        <v>0.83</v>
      </c>
      <c r="I157" s="485">
        <v>1.51</v>
      </c>
      <c r="J157" s="475">
        <v>1.6E-2</v>
      </c>
    </row>
    <row r="158" spans="1:10" ht="35.049999999999997" customHeight="1" x14ac:dyDescent="0.3">
      <c r="A158" s="398" t="s">
        <v>899</v>
      </c>
      <c r="B158" s="437" t="s">
        <v>480</v>
      </c>
      <c r="C158" s="405">
        <v>0</v>
      </c>
      <c r="D158" s="481">
        <v>1.4730000000000001</v>
      </c>
      <c r="E158" s="478">
        <v>4.2999999999999997E-2</v>
      </c>
      <c r="F158" s="479">
        <v>2E-3</v>
      </c>
      <c r="G158" s="480">
        <v>64.489999999999995</v>
      </c>
      <c r="H158" s="480">
        <v>0.83</v>
      </c>
      <c r="I158" s="485">
        <v>1.51</v>
      </c>
      <c r="J158" s="475">
        <v>1.6E-2</v>
      </c>
    </row>
    <row r="159" spans="1:10" ht="35.049999999999997" customHeight="1" x14ac:dyDescent="0.3">
      <c r="A159" s="398" t="s">
        <v>900</v>
      </c>
      <c r="B159" s="437" t="s">
        <v>480</v>
      </c>
      <c r="C159" s="405">
        <v>0</v>
      </c>
      <c r="D159" s="481">
        <v>1.4730000000000001</v>
      </c>
      <c r="E159" s="478">
        <v>4.2999999999999997E-2</v>
      </c>
      <c r="F159" s="479">
        <v>2E-3</v>
      </c>
      <c r="G159" s="480">
        <v>118.12</v>
      </c>
      <c r="H159" s="480">
        <v>0.83</v>
      </c>
      <c r="I159" s="485">
        <v>1.51</v>
      </c>
      <c r="J159" s="475">
        <v>1.6E-2</v>
      </c>
    </row>
    <row r="160" spans="1:10" ht="35.049999999999997" customHeight="1" x14ac:dyDescent="0.3">
      <c r="A160" s="398" t="s">
        <v>901</v>
      </c>
      <c r="B160" s="437" t="s">
        <v>480</v>
      </c>
      <c r="C160" s="405">
        <v>0</v>
      </c>
      <c r="D160" s="481">
        <v>1.4730000000000001</v>
      </c>
      <c r="E160" s="478">
        <v>4.2999999999999997E-2</v>
      </c>
      <c r="F160" s="479">
        <v>2E-3</v>
      </c>
      <c r="G160" s="480">
        <v>181.21</v>
      </c>
      <c r="H160" s="480">
        <v>0.83</v>
      </c>
      <c r="I160" s="485">
        <v>1.51</v>
      </c>
      <c r="J160" s="475">
        <v>1.6E-2</v>
      </c>
    </row>
    <row r="161" spans="1:10" ht="35.049999999999997" customHeight="1" x14ac:dyDescent="0.3">
      <c r="A161" s="398" t="s">
        <v>902</v>
      </c>
      <c r="B161" s="437" t="s">
        <v>480</v>
      </c>
      <c r="C161" s="405">
        <v>0</v>
      </c>
      <c r="D161" s="481">
        <v>1.4730000000000001</v>
      </c>
      <c r="E161" s="478">
        <v>4.2999999999999997E-2</v>
      </c>
      <c r="F161" s="479">
        <v>2E-3</v>
      </c>
      <c r="G161" s="480">
        <v>387.03</v>
      </c>
      <c r="H161" s="480">
        <v>0.83</v>
      </c>
      <c r="I161" s="485">
        <v>1.51</v>
      </c>
      <c r="J161" s="475">
        <v>1.6E-2</v>
      </c>
    </row>
    <row r="162" spans="1:10" ht="35.049999999999997" customHeight="1" x14ac:dyDescent="0.3">
      <c r="A162" s="398" t="s">
        <v>903</v>
      </c>
      <c r="B162" s="437" t="s">
        <v>480</v>
      </c>
      <c r="C162" s="405">
        <v>0</v>
      </c>
      <c r="D162" s="481">
        <v>1.2869999999999999</v>
      </c>
      <c r="E162" s="478">
        <v>2.7E-2</v>
      </c>
      <c r="F162" s="479">
        <v>1E-3</v>
      </c>
      <c r="G162" s="480">
        <v>26.48</v>
      </c>
      <c r="H162" s="480">
        <v>0.84</v>
      </c>
      <c r="I162" s="485">
        <v>1.77</v>
      </c>
      <c r="J162" s="475">
        <v>1.2E-2</v>
      </c>
    </row>
    <row r="163" spans="1:10" ht="35.049999999999997" customHeight="1" x14ac:dyDescent="0.3">
      <c r="A163" s="398" t="s">
        <v>904</v>
      </c>
      <c r="B163" s="437" t="s">
        <v>480</v>
      </c>
      <c r="C163" s="405">
        <v>0</v>
      </c>
      <c r="D163" s="481">
        <v>1.2869999999999999</v>
      </c>
      <c r="E163" s="478">
        <v>2.7E-2</v>
      </c>
      <c r="F163" s="479">
        <v>1E-3</v>
      </c>
      <c r="G163" s="480">
        <v>464.01</v>
      </c>
      <c r="H163" s="480">
        <v>0.84</v>
      </c>
      <c r="I163" s="485">
        <v>1.77</v>
      </c>
      <c r="J163" s="475">
        <v>1.2E-2</v>
      </c>
    </row>
    <row r="164" spans="1:10" ht="35.049999999999997" customHeight="1" x14ac:dyDescent="0.3">
      <c r="A164" s="398" t="s">
        <v>905</v>
      </c>
      <c r="B164" s="437" t="s">
        <v>480</v>
      </c>
      <c r="C164" s="405">
        <v>0</v>
      </c>
      <c r="D164" s="481">
        <v>1.2869999999999999</v>
      </c>
      <c r="E164" s="478">
        <v>2.7E-2</v>
      </c>
      <c r="F164" s="479">
        <v>1E-3</v>
      </c>
      <c r="G164" s="480">
        <v>1136.6099999999999</v>
      </c>
      <c r="H164" s="480">
        <v>0.84</v>
      </c>
      <c r="I164" s="485">
        <v>1.77</v>
      </c>
      <c r="J164" s="475">
        <v>1.2E-2</v>
      </c>
    </row>
    <row r="165" spans="1:10" ht="35.049999999999997" customHeight="1" x14ac:dyDescent="0.3">
      <c r="A165" s="398" t="s">
        <v>906</v>
      </c>
      <c r="B165" s="437" t="s">
        <v>480</v>
      </c>
      <c r="C165" s="405">
        <v>0</v>
      </c>
      <c r="D165" s="481">
        <v>1.2869999999999999</v>
      </c>
      <c r="E165" s="478">
        <v>2.7E-2</v>
      </c>
      <c r="F165" s="479">
        <v>1E-3</v>
      </c>
      <c r="G165" s="480">
        <v>2463.73</v>
      </c>
      <c r="H165" s="480">
        <v>0.84</v>
      </c>
      <c r="I165" s="485">
        <v>1.77</v>
      </c>
      <c r="J165" s="475">
        <v>1.2E-2</v>
      </c>
    </row>
    <row r="166" spans="1:10" ht="35.049999999999997" customHeight="1" x14ac:dyDescent="0.3">
      <c r="A166" s="398" t="s">
        <v>907</v>
      </c>
      <c r="B166" s="437" t="s">
        <v>480</v>
      </c>
      <c r="C166" s="405">
        <v>0</v>
      </c>
      <c r="D166" s="481">
        <v>1.2869999999999999</v>
      </c>
      <c r="E166" s="478">
        <v>2.7E-2</v>
      </c>
      <c r="F166" s="479">
        <v>1E-3</v>
      </c>
      <c r="G166" s="480">
        <v>6128.1</v>
      </c>
      <c r="H166" s="480">
        <v>0.84</v>
      </c>
      <c r="I166" s="485">
        <v>1.77</v>
      </c>
      <c r="J166" s="475">
        <v>1.2E-2</v>
      </c>
    </row>
    <row r="167" spans="1:10" ht="35.049999999999997" customHeight="1" x14ac:dyDescent="0.3">
      <c r="A167" s="398" t="s">
        <v>593</v>
      </c>
      <c r="B167" s="437" t="s">
        <v>480</v>
      </c>
      <c r="C167" s="405" t="s">
        <v>616</v>
      </c>
      <c r="D167" s="477">
        <v>5.4180000000000001</v>
      </c>
      <c r="E167" s="483">
        <v>0.36499999999999999</v>
      </c>
      <c r="F167" s="479">
        <v>0.27400000000000002</v>
      </c>
      <c r="G167" s="476">
        <v>0</v>
      </c>
      <c r="H167" s="476">
        <v>0</v>
      </c>
      <c r="I167" s="516">
        <v>0</v>
      </c>
      <c r="J167" s="482">
        <v>0</v>
      </c>
    </row>
    <row r="168" spans="1:10" ht="35.049999999999997" customHeight="1" x14ac:dyDescent="0.3">
      <c r="A168" s="398" t="s">
        <v>706</v>
      </c>
      <c r="B168" s="437" t="s">
        <v>480</v>
      </c>
      <c r="C168" s="405">
        <v>0</v>
      </c>
      <c r="D168" s="481">
        <v>-1.9359999999999999</v>
      </c>
      <c r="E168" s="478">
        <v>-8.4000000000000005E-2</v>
      </c>
      <c r="F168" s="479">
        <v>-5.0000000000000001E-3</v>
      </c>
      <c r="G168" s="508">
        <v>0</v>
      </c>
      <c r="H168" s="476">
        <v>0</v>
      </c>
      <c r="I168" s="516">
        <v>0</v>
      </c>
      <c r="J168" s="482">
        <v>0</v>
      </c>
    </row>
    <row r="169" spans="1:10" ht="35.049999999999997" customHeight="1" x14ac:dyDescent="0.3">
      <c r="A169" s="398" t="s">
        <v>707</v>
      </c>
      <c r="B169" s="437" t="s">
        <v>480</v>
      </c>
      <c r="C169" s="405">
        <v>0</v>
      </c>
      <c r="D169" s="481">
        <v>-2.06</v>
      </c>
      <c r="E169" s="478">
        <v>-8.4000000000000005E-2</v>
      </c>
      <c r="F169" s="479">
        <v>-5.0000000000000001E-3</v>
      </c>
      <c r="G169" s="508">
        <v>0</v>
      </c>
      <c r="H169" s="476">
        <v>0</v>
      </c>
      <c r="I169" s="516">
        <v>0</v>
      </c>
      <c r="J169" s="482">
        <v>0</v>
      </c>
    </row>
    <row r="170" spans="1:10" ht="35.049999999999997" customHeight="1" x14ac:dyDescent="0.3">
      <c r="A170" s="398" t="s">
        <v>708</v>
      </c>
      <c r="B170" s="437" t="s">
        <v>480</v>
      </c>
      <c r="C170" s="405">
        <v>0</v>
      </c>
      <c r="D170" s="481">
        <v>-1.9359999999999999</v>
      </c>
      <c r="E170" s="478">
        <v>-8.4000000000000005E-2</v>
      </c>
      <c r="F170" s="479">
        <v>-5.0000000000000001E-3</v>
      </c>
      <c r="G170" s="508">
        <v>0</v>
      </c>
      <c r="H170" s="476">
        <v>0</v>
      </c>
      <c r="I170" s="516">
        <v>0</v>
      </c>
      <c r="J170" s="475">
        <v>2.5999999999999999E-2</v>
      </c>
    </row>
    <row r="171" spans="1:10" ht="35.049999999999997" customHeight="1" x14ac:dyDescent="0.3">
      <c r="A171" s="398" t="s">
        <v>709</v>
      </c>
      <c r="B171" s="437" t="s">
        <v>480</v>
      </c>
      <c r="C171" s="405">
        <v>0</v>
      </c>
      <c r="D171" s="481">
        <v>-2.06</v>
      </c>
      <c r="E171" s="478">
        <v>-8.4000000000000005E-2</v>
      </c>
      <c r="F171" s="479">
        <v>-5.0000000000000001E-3</v>
      </c>
      <c r="G171" s="508">
        <v>0</v>
      </c>
      <c r="H171" s="476">
        <v>0</v>
      </c>
      <c r="I171" s="516">
        <v>0</v>
      </c>
      <c r="J171" s="475">
        <v>2.4E-2</v>
      </c>
    </row>
    <row r="172" spans="1:10" ht="35.049999999999997" customHeight="1" x14ac:dyDescent="0.3">
      <c r="A172" s="398" t="s">
        <v>710</v>
      </c>
      <c r="B172" s="437" t="s">
        <v>480</v>
      </c>
      <c r="C172" s="405">
        <v>0</v>
      </c>
      <c r="D172" s="481">
        <v>-2.4180000000000001</v>
      </c>
      <c r="E172" s="478">
        <v>-6.4000000000000001E-2</v>
      </c>
      <c r="F172" s="479">
        <v>-3.0000000000000001E-3</v>
      </c>
      <c r="G172" s="480">
        <v>29.79</v>
      </c>
      <c r="H172" s="476">
        <v>0</v>
      </c>
      <c r="I172" s="516">
        <v>0</v>
      </c>
      <c r="J172" s="475">
        <v>3.3000000000000002E-2</v>
      </c>
    </row>
    <row r="173" spans="1:10" ht="35.049999999999997" customHeight="1" x14ac:dyDescent="0.3">
      <c r="A173" s="398" t="s">
        <v>908</v>
      </c>
      <c r="B173" s="437" t="s">
        <v>480</v>
      </c>
      <c r="C173" s="405" t="s">
        <v>574</v>
      </c>
      <c r="D173" s="481">
        <v>0.79700000000000004</v>
      </c>
      <c r="E173" s="478">
        <v>3.4000000000000002E-2</v>
      </c>
      <c r="F173" s="479">
        <v>2E-3</v>
      </c>
      <c r="G173" s="480">
        <v>1.26</v>
      </c>
      <c r="H173" s="476">
        <v>0</v>
      </c>
      <c r="I173" s="516">
        <v>0</v>
      </c>
      <c r="J173" s="482">
        <v>0</v>
      </c>
    </row>
    <row r="174" spans="1:10" ht="35.049999999999997" customHeight="1" x14ac:dyDescent="0.3">
      <c r="A174" s="398" t="s">
        <v>909</v>
      </c>
      <c r="B174" s="437" t="s">
        <v>480</v>
      </c>
      <c r="C174" s="405" t="s">
        <v>575</v>
      </c>
      <c r="D174" s="481">
        <v>0.79700000000000004</v>
      </c>
      <c r="E174" s="478">
        <v>3.4000000000000002E-2</v>
      </c>
      <c r="F174" s="479">
        <v>2E-3</v>
      </c>
      <c r="G174" s="476">
        <v>0</v>
      </c>
      <c r="H174" s="476">
        <v>0</v>
      </c>
      <c r="I174" s="516">
        <v>0</v>
      </c>
      <c r="J174" s="482">
        <v>0</v>
      </c>
    </row>
    <row r="175" spans="1:10" ht="35.049999999999997" customHeight="1" x14ac:dyDescent="0.3">
      <c r="A175" s="398" t="s">
        <v>910</v>
      </c>
      <c r="B175" s="437" t="s">
        <v>480</v>
      </c>
      <c r="C175" s="405" t="s">
        <v>930</v>
      </c>
      <c r="D175" s="481">
        <v>0.76200000000000001</v>
      </c>
      <c r="E175" s="478">
        <v>3.3000000000000002E-2</v>
      </c>
      <c r="F175" s="479">
        <v>2E-3</v>
      </c>
      <c r="G175" s="480">
        <v>0.85</v>
      </c>
      <c r="H175" s="476">
        <v>0</v>
      </c>
      <c r="I175" s="516">
        <v>0</v>
      </c>
      <c r="J175" s="482">
        <v>0</v>
      </c>
    </row>
    <row r="176" spans="1:10" ht="35.049999999999997" customHeight="1" x14ac:dyDescent="0.3">
      <c r="A176" s="398" t="s">
        <v>911</v>
      </c>
      <c r="B176" s="437" t="s">
        <v>480</v>
      </c>
      <c r="C176" s="405" t="s">
        <v>930</v>
      </c>
      <c r="D176" s="481">
        <v>0.76200000000000001</v>
      </c>
      <c r="E176" s="478">
        <v>3.3000000000000002E-2</v>
      </c>
      <c r="F176" s="479">
        <v>2E-3</v>
      </c>
      <c r="G176" s="480">
        <v>1.0900000000000001</v>
      </c>
      <c r="H176" s="476">
        <v>0</v>
      </c>
      <c r="I176" s="516">
        <v>0</v>
      </c>
      <c r="J176" s="482">
        <v>0</v>
      </c>
    </row>
    <row r="177" spans="1:10" ht="35.049999999999997" customHeight="1" x14ac:dyDescent="0.3">
      <c r="A177" s="398" t="s">
        <v>912</v>
      </c>
      <c r="B177" s="437" t="s">
        <v>480</v>
      </c>
      <c r="C177" s="405" t="s">
        <v>930</v>
      </c>
      <c r="D177" s="481">
        <v>0.76200000000000001</v>
      </c>
      <c r="E177" s="478">
        <v>3.3000000000000002E-2</v>
      </c>
      <c r="F177" s="479">
        <v>2E-3</v>
      </c>
      <c r="G177" s="480">
        <v>2.11</v>
      </c>
      <c r="H177" s="476">
        <v>0</v>
      </c>
      <c r="I177" s="516">
        <v>0</v>
      </c>
      <c r="J177" s="482">
        <v>0</v>
      </c>
    </row>
    <row r="178" spans="1:10" ht="35.049999999999997" customHeight="1" x14ac:dyDescent="0.3">
      <c r="A178" s="398" t="s">
        <v>913</v>
      </c>
      <c r="B178" s="437" t="s">
        <v>480</v>
      </c>
      <c r="C178" s="405" t="s">
        <v>930</v>
      </c>
      <c r="D178" s="481">
        <v>0.76200000000000001</v>
      </c>
      <c r="E178" s="478">
        <v>3.3000000000000002E-2</v>
      </c>
      <c r="F178" s="479">
        <v>2E-3</v>
      </c>
      <c r="G178" s="480">
        <v>3.83</v>
      </c>
      <c r="H178" s="476">
        <v>0</v>
      </c>
      <c r="I178" s="516">
        <v>0</v>
      </c>
      <c r="J178" s="482">
        <v>0</v>
      </c>
    </row>
    <row r="179" spans="1:10" ht="35.049999999999997" customHeight="1" x14ac:dyDescent="0.3">
      <c r="A179" s="398" t="s">
        <v>914</v>
      </c>
      <c r="B179" s="437" t="s">
        <v>480</v>
      </c>
      <c r="C179" s="405" t="s">
        <v>930</v>
      </c>
      <c r="D179" s="481">
        <v>0.76200000000000001</v>
      </c>
      <c r="E179" s="478">
        <v>3.3000000000000002E-2</v>
      </c>
      <c r="F179" s="479">
        <v>2E-3</v>
      </c>
      <c r="G179" s="480">
        <v>10.66</v>
      </c>
      <c r="H179" s="476">
        <v>0</v>
      </c>
      <c r="I179" s="516">
        <v>0</v>
      </c>
      <c r="J179" s="482">
        <v>0</v>
      </c>
    </row>
    <row r="180" spans="1:10" ht="35.049999999999997" customHeight="1" x14ac:dyDescent="0.3">
      <c r="A180" s="398" t="s">
        <v>594</v>
      </c>
      <c r="B180" s="437" t="s">
        <v>480</v>
      </c>
      <c r="C180" s="405" t="s">
        <v>577</v>
      </c>
      <c r="D180" s="481">
        <v>0.76200000000000001</v>
      </c>
      <c r="E180" s="478">
        <v>3.3000000000000002E-2</v>
      </c>
      <c r="F180" s="479">
        <v>2E-3</v>
      </c>
      <c r="G180" s="476">
        <v>0</v>
      </c>
      <c r="H180" s="476">
        <v>0</v>
      </c>
      <c r="I180" s="516">
        <v>0</v>
      </c>
      <c r="J180" s="482">
        <v>0</v>
      </c>
    </row>
    <row r="181" spans="1:10" ht="35.049999999999997" customHeight="1" x14ac:dyDescent="0.3">
      <c r="A181" s="398" t="s">
        <v>915</v>
      </c>
      <c r="B181" s="437" t="s">
        <v>480</v>
      </c>
      <c r="C181" s="405">
        <v>0</v>
      </c>
      <c r="D181" s="481">
        <v>0.55500000000000005</v>
      </c>
      <c r="E181" s="478">
        <v>2.1999999999999999E-2</v>
      </c>
      <c r="F181" s="479">
        <v>1E-3</v>
      </c>
      <c r="G181" s="480">
        <v>1.05</v>
      </c>
      <c r="H181" s="480">
        <v>0.23</v>
      </c>
      <c r="I181" s="485">
        <v>0.46</v>
      </c>
      <c r="J181" s="475">
        <v>6.0000000000000001E-3</v>
      </c>
    </row>
    <row r="182" spans="1:10" ht="35.049999999999997" customHeight="1" x14ac:dyDescent="0.3">
      <c r="A182" s="398" t="s">
        <v>916</v>
      </c>
      <c r="B182" s="437" t="s">
        <v>480</v>
      </c>
      <c r="C182" s="405">
        <v>0</v>
      </c>
      <c r="D182" s="481">
        <v>0.55500000000000005</v>
      </c>
      <c r="E182" s="478">
        <v>2.1999999999999999E-2</v>
      </c>
      <c r="F182" s="479">
        <v>1E-3</v>
      </c>
      <c r="G182" s="480">
        <v>16.68</v>
      </c>
      <c r="H182" s="480">
        <v>0.23</v>
      </c>
      <c r="I182" s="485">
        <v>0.46</v>
      </c>
      <c r="J182" s="475">
        <v>6.0000000000000001E-3</v>
      </c>
    </row>
    <row r="183" spans="1:10" ht="35.049999999999997" customHeight="1" x14ac:dyDescent="0.3">
      <c r="A183" s="398" t="s">
        <v>917</v>
      </c>
      <c r="B183" s="437" t="s">
        <v>480</v>
      </c>
      <c r="C183" s="405">
        <v>0</v>
      </c>
      <c r="D183" s="481">
        <v>0.55500000000000005</v>
      </c>
      <c r="E183" s="478">
        <v>2.1999999999999999E-2</v>
      </c>
      <c r="F183" s="479">
        <v>1E-3</v>
      </c>
      <c r="G183" s="480">
        <v>30.25</v>
      </c>
      <c r="H183" s="480">
        <v>0.23</v>
      </c>
      <c r="I183" s="485">
        <v>0.46</v>
      </c>
      <c r="J183" s="475">
        <v>6.0000000000000001E-3</v>
      </c>
    </row>
    <row r="184" spans="1:10" ht="35.049999999999997" customHeight="1" x14ac:dyDescent="0.3">
      <c r="A184" s="398" t="s">
        <v>918</v>
      </c>
      <c r="B184" s="437" t="s">
        <v>480</v>
      </c>
      <c r="C184" s="405">
        <v>0</v>
      </c>
      <c r="D184" s="481">
        <v>0.55500000000000005</v>
      </c>
      <c r="E184" s="478">
        <v>2.1999999999999999E-2</v>
      </c>
      <c r="F184" s="479">
        <v>1E-3</v>
      </c>
      <c r="G184" s="480">
        <v>46.21</v>
      </c>
      <c r="H184" s="480">
        <v>0.23</v>
      </c>
      <c r="I184" s="485">
        <v>0.46</v>
      </c>
      <c r="J184" s="475">
        <v>6.0000000000000001E-3</v>
      </c>
    </row>
    <row r="185" spans="1:10" ht="35.049999999999997" customHeight="1" x14ac:dyDescent="0.3">
      <c r="A185" s="398" t="s">
        <v>919</v>
      </c>
      <c r="B185" s="437" t="s">
        <v>480</v>
      </c>
      <c r="C185" s="405">
        <v>0</v>
      </c>
      <c r="D185" s="481">
        <v>0.55500000000000005</v>
      </c>
      <c r="E185" s="478">
        <v>2.1999999999999999E-2</v>
      </c>
      <c r="F185" s="479">
        <v>1E-3</v>
      </c>
      <c r="G185" s="480">
        <v>98.26</v>
      </c>
      <c r="H185" s="480">
        <v>0.23</v>
      </c>
      <c r="I185" s="485">
        <v>0.46</v>
      </c>
      <c r="J185" s="475">
        <v>6.0000000000000001E-3</v>
      </c>
    </row>
    <row r="186" spans="1:10" ht="35.049999999999997" customHeight="1" x14ac:dyDescent="0.3">
      <c r="A186" s="398" t="s">
        <v>920</v>
      </c>
      <c r="B186" s="437" t="s">
        <v>480</v>
      </c>
      <c r="C186" s="405">
        <v>0</v>
      </c>
      <c r="D186" s="481">
        <v>0.60499999999999998</v>
      </c>
      <c r="E186" s="478">
        <v>1.7999999999999999E-2</v>
      </c>
      <c r="F186" s="479">
        <v>1E-3</v>
      </c>
      <c r="G186" s="480">
        <v>1.26</v>
      </c>
      <c r="H186" s="480">
        <v>0.34</v>
      </c>
      <c r="I186" s="485">
        <v>0.62</v>
      </c>
      <c r="J186" s="475">
        <v>6.0000000000000001E-3</v>
      </c>
    </row>
    <row r="187" spans="1:10" ht="35.049999999999997" customHeight="1" x14ac:dyDescent="0.3">
      <c r="A187" s="398" t="s">
        <v>921</v>
      </c>
      <c r="B187" s="437" t="s">
        <v>480</v>
      </c>
      <c r="C187" s="405">
        <v>0</v>
      </c>
      <c r="D187" s="481">
        <v>0.60499999999999998</v>
      </c>
      <c r="E187" s="478">
        <v>1.7999999999999999E-2</v>
      </c>
      <c r="F187" s="479">
        <v>1E-3</v>
      </c>
      <c r="G187" s="480">
        <v>26.65</v>
      </c>
      <c r="H187" s="480">
        <v>0.34</v>
      </c>
      <c r="I187" s="485">
        <v>0.62</v>
      </c>
      <c r="J187" s="475">
        <v>6.0000000000000001E-3</v>
      </c>
    </row>
    <row r="188" spans="1:10" ht="35.049999999999997" customHeight="1" x14ac:dyDescent="0.3">
      <c r="A188" s="398" t="s">
        <v>922</v>
      </c>
      <c r="B188" s="437" t="s">
        <v>480</v>
      </c>
      <c r="C188" s="405">
        <v>0</v>
      </c>
      <c r="D188" s="481">
        <v>0.60499999999999998</v>
      </c>
      <c r="E188" s="478">
        <v>1.7999999999999999E-2</v>
      </c>
      <c r="F188" s="479">
        <v>1E-3</v>
      </c>
      <c r="G188" s="480">
        <v>48.69</v>
      </c>
      <c r="H188" s="480">
        <v>0.34</v>
      </c>
      <c r="I188" s="485">
        <v>0.62</v>
      </c>
      <c r="J188" s="475">
        <v>6.0000000000000001E-3</v>
      </c>
    </row>
    <row r="189" spans="1:10" ht="35.049999999999997" customHeight="1" x14ac:dyDescent="0.3">
      <c r="A189" s="398" t="s">
        <v>923</v>
      </c>
      <c r="B189" s="437" t="s">
        <v>480</v>
      </c>
      <c r="C189" s="405">
        <v>0</v>
      </c>
      <c r="D189" s="481">
        <v>0.60499999999999998</v>
      </c>
      <c r="E189" s="478">
        <v>1.7999999999999999E-2</v>
      </c>
      <c r="F189" s="479">
        <v>1E-3</v>
      </c>
      <c r="G189" s="480">
        <v>74.61</v>
      </c>
      <c r="H189" s="480">
        <v>0.34</v>
      </c>
      <c r="I189" s="485">
        <v>0.62</v>
      </c>
      <c r="J189" s="475">
        <v>6.0000000000000001E-3</v>
      </c>
    </row>
    <row r="190" spans="1:10" ht="35.049999999999997" customHeight="1" x14ac:dyDescent="0.3">
      <c r="A190" s="398" t="s">
        <v>924</v>
      </c>
      <c r="B190" s="437" t="s">
        <v>480</v>
      </c>
      <c r="C190" s="405">
        <v>0</v>
      </c>
      <c r="D190" s="481">
        <v>0.60499999999999998</v>
      </c>
      <c r="E190" s="478">
        <v>1.7999999999999999E-2</v>
      </c>
      <c r="F190" s="479">
        <v>1E-3</v>
      </c>
      <c r="G190" s="480">
        <v>159.16</v>
      </c>
      <c r="H190" s="480">
        <v>0.34</v>
      </c>
      <c r="I190" s="485">
        <v>0.62</v>
      </c>
      <c r="J190" s="475">
        <v>6.0000000000000001E-3</v>
      </c>
    </row>
    <row r="191" spans="1:10" ht="35.049999999999997" customHeight="1" x14ac:dyDescent="0.3">
      <c r="A191" s="398" t="s">
        <v>925</v>
      </c>
      <c r="B191" s="437" t="s">
        <v>480</v>
      </c>
      <c r="C191" s="405">
        <v>0</v>
      </c>
      <c r="D191" s="481">
        <v>0.52900000000000003</v>
      </c>
      <c r="E191" s="478">
        <v>1.0999999999999999E-2</v>
      </c>
      <c r="F191" s="479">
        <v>0</v>
      </c>
      <c r="G191" s="480">
        <v>11.04</v>
      </c>
      <c r="H191" s="480">
        <v>0.35</v>
      </c>
      <c r="I191" s="485">
        <v>0.73</v>
      </c>
      <c r="J191" s="475">
        <v>5.0000000000000001E-3</v>
      </c>
    </row>
    <row r="192" spans="1:10" ht="35.049999999999997" customHeight="1" x14ac:dyDescent="0.3">
      <c r="A192" s="398" t="s">
        <v>926</v>
      </c>
      <c r="B192" s="437" t="s">
        <v>480</v>
      </c>
      <c r="C192" s="405">
        <v>0</v>
      </c>
      <c r="D192" s="481">
        <v>0.52900000000000003</v>
      </c>
      <c r="E192" s="478">
        <v>1.0999999999999999E-2</v>
      </c>
      <c r="F192" s="479">
        <v>0</v>
      </c>
      <c r="G192" s="480">
        <v>190.78</v>
      </c>
      <c r="H192" s="480">
        <v>0.35</v>
      </c>
      <c r="I192" s="485">
        <v>0.73</v>
      </c>
      <c r="J192" s="475">
        <v>5.0000000000000001E-3</v>
      </c>
    </row>
    <row r="193" spans="1:10" ht="35.049999999999997" customHeight="1" x14ac:dyDescent="0.3">
      <c r="A193" s="398" t="s">
        <v>927</v>
      </c>
      <c r="B193" s="437" t="s">
        <v>480</v>
      </c>
      <c r="C193" s="405">
        <v>0</v>
      </c>
      <c r="D193" s="481">
        <v>0.52900000000000003</v>
      </c>
      <c r="E193" s="478">
        <v>1.0999999999999999E-2</v>
      </c>
      <c r="F193" s="479">
        <v>0</v>
      </c>
      <c r="G193" s="480">
        <v>467.1</v>
      </c>
      <c r="H193" s="480">
        <v>0.35</v>
      </c>
      <c r="I193" s="485">
        <v>0.73</v>
      </c>
      <c r="J193" s="475">
        <v>5.0000000000000001E-3</v>
      </c>
    </row>
    <row r="194" spans="1:10" ht="35.049999999999997" customHeight="1" x14ac:dyDescent="0.3">
      <c r="A194" s="398" t="s">
        <v>928</v>
      </c>
      <c r="B194" s="437" t="s">
        <v>480</v>
      </c>
      <c r="C194" s="405">
        <v>0</v>
      </c>
      <c r="D194" s="481">
        <v>0.52900000000000003</v>
      </c>
      <c r="E194" s="478">
        <v>1.0999999999999999E-2</v>
      </c>
      <c r="F194" s="479">
        <v>0</v>
      </c>
      <c r="G194" s="480">
        <v>1012.32</v>
      </c>
      <c r="H194" s="480">
        <v>0.35</v>
      </c>
      <c r="I194" s="485">
        <v>0.73</v>
      </c>
      <c r="J194" s="475">
        <v>5.0000000000000001E-3</v>
      </c>
    </row>
    <row r="195" spans="1:10" ht="35.049999999999997" customHeight="1" x14ac:dyDescent="0.3">
      <c r="A195" s="398" t="s">
        <v>929</v>
      </c>
      <c r="B195" s="437" t="s">
        <v>480</v>
      </c>
      <c r="C195" s="405">
        <v>0</v>
      </c>
      <c r="D195" s="481">
        <v>0.52900000000000003</v>
      </c>
      <c r="E195" s="478">
        <v>1.0999999999999999E-2</v>
      </c>
      <c r="F195" s="479">
        <v>0</v>
      </c>
      <c r="G195" s="480">
        <v>2517.73</v>
      </c>
      <c r="H195" s="480">
        <v>0.35</v>
      </c>
      <c r="I195" s="485">
        <v>0.73</v>
      </c>
      <c r="J195" s="475">
        <v>5.0000000000000001E-3</v>
      </c>
    </row>
    <row r="196" spans="1:10" ht="35.049999999999997" customHeight="1" x14ac:dyDescent="0.3">
      <c r="A196" s="398" t="s">
        <v>595</v>
      </c>
      <c r="B196" s="437" t="s">
        <v>480</v>
      </c>
      <c r="C196" s="405" t="s">
        <v>616</v>
      </c>
      <c r="D196" s="477">
        <v>2.226</v>
      </c>
      <c r="E196" s="483">
        <v>0.15</v>
      </c>
      <c r="F196" s="479">
        <v>0.113</v>
      </c>
      <c r="G196" s="476">
        <v>0</v>
      </c>
      <c r="H196" s="476">
        <v>0</v>
      </c>
      <c r="I196" s="516">
        <v>0</v>
      </c>
      <c r="J196" s="482">
        <v>0</v>
      </c>
    </row>
    <row r="197" spans="1:10" ht="35.049999999999997" customHeight="1" x14ac:dyDescent="0.3">
      <c r="A197" s="398" t="s">
        <v>711</v>
      </c>
      <c r="B197" s="437" t="s">
        <v>480</v>
      </c>
      <c r="C197" s="405">
        <v>0</v>
      </c>
      <c r="D197" s="481">
        <v>-0.79500000000000004</v>
      </c>
      <c r="E197" s="478">
        <v>-3.4000000000000002E-2</v>
      </c>
      <c r="F197" s="479">
        <v>-2E-3</v>
      </c>
      <c r="G197" s="508">
        <v>0</v>
      </c>
      <c r="H197" s="476">
        <v>0</v>
      </c>
      <c r="I197" s="516">
        <v>0</v>
      </c>
      <c r="J197" s="482">
        <v>0</v>
      </c>
    </row>
    <row r="198" spans="1:10" ht="35.049999999999997" customHeight="1" x14ac:dyDescent="0.3">
      <c r="A198" s="398" t="s">
        <v>712</v>
      </c>
      <c r="B198" s="437" t="s">
        <v>480</v>
      </c>
      <c r="C198" s="405">
        <v>0</v>
      </c>
      <c r="D198" s="481">
        <v>-0.84599999999999997</v>
      </c>
      <c r="E198" s="478">
        <v>-3.4000000000000002E-2</v>
      </c>
      <c r="F198" s="479">
        <v>-2E-3</v>
      </c>
      <c r="G198" s="508">
        <v>0</v>
      </c>
      <c r="H198" s="476">
        <v>0</v>
      </c>
      <c r="I198" s="516">
        <v>0</v>
      </c>
      <c r="J198" s="482">
        <v>0</v>
      </c>
    </row>
    <row r="199" spans="1:10" ht="35.049999999999997" customHeight="1" x14ac:dyDescent="0.3">
      <c r="A199" s="398" t="s">
        <v>713</v>
      </c>
      <c r="B199" s="437" t="s">
        <v>480</v>
      </c>
      <c r="C199" s="405">
        <v>0</v>
      </c>
      <c r="D199" s="481">
        <v>-0.79500000000000004</v>
      </c>
      <c r="E199" s="478">
        <v>-3.4000000000000002E-2</v>
      </c>
      <c r="F199" s="479">
        <v>-2E-3</v>
      </c>
      <c r="G199" s="508">
        <v>0</v>
      </c>
      <c r="H199" s="476">
        <v>0</v>
      </c>
      <c r="I199" s="516">
        <v>0</v>
      </c>
      <c r="J199" s="475">
        <v>1.0999999999999999E-2</v>
      </c>
    </row>
    <row r="200" spans="1:10" ht="35.049999999999997" customHeight="1" x14ac:dyDescent="0.3">
      <c r="A200" s="398" t="s">
        <v>714</v>
      </c>
      <c r="B200" s="437" t="s">
        <v>480</v>
      </c>
      <c r="C200" s="405">
        <v>0</v>
      </c>
      <c r="D200" s="481">
        <v>-0.84599999999999997</v>
      </c>
      <c r="E200" s="478">
        <v>-3.4000000000000002E-2</v>
      </c>
      <c r="F200" s="479">
        <v>-2E-3</v>
      </c>
      <c r="G200" s="508">
        <v>0</v>
      </c>
      <c r="H200" s="476">
        <v>0</v>
      </c>
      <c r="I200" s="516">
        <v>0</v>
      </c>
      <c r="J200" s="475">
        <v>0.01</v>
      </c>
    </row>
    <row r="201" spans="1:10" ht="35.049999999999997" customHeight="1" x14ac:dyDescent="0.3">
      <c r="A201" s="398" t="s">
        <v>715</v>
      </c>
      <c r="B201" s="437" t="s">
        <v>480</v>
      </c>
      <c r="C201" s="405">
        <v>0</v>
      </c>
      <c r="D201" s="481">
        <v>-0.99299999999999999</v>
      </c>
      <c r="E201" s="478">
        <v>-2.5999999999999999E-2</v>
      </c>
      <c r="F201" s="479">
        <v>-1E-3</v>
      </c>
      <c r="G201" s="480">
        <v>12.24</v>
      </c>
      <c r="H201" s="476">
        <v>0</v>
      </c>
      <c r="I201" s="516">
        <v>0</v>
      </c>
      <c r="J201" s="475">
        <v>1.4E-2</v>
      </c>
    </row>
  </sheetData>
  <mergeCells count="12">
    <mergeCell ref="B10:D10"/>
    <mergeCell ref="F10:G10"/>
    <mergeCell ref="H9:J9"/>
    <mergeCell ref="F5:G5"/>
    <mergeCell ref="A2:J2"/>
    <mergeCell ref="A4:D4"/>
    <mergeCell ref="F4:J4"/>
    <mergeCell ref="F6:G6"/>
    <mergeCell ref="F7:G7"/>
    <mergeCell ref="B8:D8"/>
    <mergeCell ref="F8:G8"/>
    <mergeCell ref="F9:G9"/>
  </mergeCells>
  <hyperlinks>
    <hyperlink ref="A1" location="Overview!A1" display="Back to Overview" xr:uid="{00000000-0004-0000-17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1">
    <pageSetUpPr fitToPage="1"/>
  </sheetPr>
  <dimension ref="A1:J201"/>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6384" width="9.15234375" style="1"/>
  </cols>
  <sheetData>
    <row r="1" spans="1:10" ht="40" customHeight="1" x14ac:dyDescent="0.3">
      <c r="A1" s="30" t="s">
        <v>19</v>
      </c>
      <c r="C1" s="2"/>
      <c r="D1" s="2"/>
      <c r="H1" s="2"/>
      <c r="I1" s="3"/>
      <c r="J1" s="1"/>
    </row>
    <row r="2" spans="1:10" ht="40" customHeight="1" x14ac:dyDescent="0.3">
      <c r="A2" s="612" t="str">
        <f>Overview!B4&amp;" - Effective from "&amp;Overview!D4&amp;" - Final LDNO tariffs in NPG Yorkshire Area (GSP Group_M)"</f>
        <v>Indigo Power Limited - Effective from 1 April 2023 - Final LDNO tariffs in NPG Yorkshire Area (GSP Group_M)</v>
      </c>
      <c r="B2" s="612"/>
      <c r="C2" s="612"/>
      <c r="D2" s="612"/>
      <c r="E2" s="612"/>
      <c r="F2" s="612"/>
      <c r="G2" s="612"/>
      <c r="H2" s="612"/>
      <c r="I2" s="612"/>
      <c r="J2" s="612"/>
    </row>
    <row r="3" spans="1:10" ht="40" customHeight="1" x14ac:dyDescent="0.3">
      <c r="A3" s="48"/>
      <c r="B3" s="48"/>
      <c r="C3" s="48"/>
      <c r="D3" s="48"/>
      <c r="E3" s="48"/>
      <c r="F3" s="48"/>
      <c r="G3" s="48"/>
      <c r="H3" s="48"/>
      <c r="I3" s="48"/>
      <c r="J3" s="48"/>
    </row>
    <row r="4" spans="1:10" ht="40" customHeight="1" x14ac:dyDescent="0.3">
      <c r="A4" s="552" t="s">
        <v>308</v>
      </c>
      <c r="B4" s="552"/>
      <c r="C4" s="552"/>
      <c r="D4" s="552"/>
      <c r="E4" s="52"/>
      <c r="F4" s="552" t="s">
        <v>307</v>
      </c>
      <c r="G4" s="552"/>
      <c r="H4" s="552"/>
      <c r="I4" s="552"/>
      <c r="J4" s="552"/>
    </row>
    <row r="5" spans="1:10" ht="40" customHeight="1" x14ac:dyDescent="0.3">
      <c r="A5" s="468" t="s">
        <v>13</v>
      </c>
      <c r="B5" s="281" t="s">
        <v>299</v>
      </c>
      <c r="C5" s="286" t="s">
        <v>300</v>
      </c>
      <c r="D5" s="42" t="s">
        <v>301</v>
      </c>
      <c r="E5" s="45"/>
      <c r="F5" s="549"/>
      <c r="G5" s="550"/>
      <c r="H5" s="43" t="s">
        <v>305</v>
      </c>
      <c r="I5" s="44" t="s">
        <v>306</v>
      </c>
      <c r="J5" s="42" t="s">
        <v>301</v>
      </c>
    </row>
    <row r="6" spans="1:10" ht="40" customHeight="1" x14ac:dyDescent="0.3">
      <c r="A6" s="105" t="str">
        <f>'Annex 1 LV and HV charges_M'!A6</f>
        <v>Monday to Friday 
(Including Bank Holidays)
All Year</v>
      </c>
      <c r="B6" s="279" t="str">
        <f>'Annex 1 LV and HV charges_M'!B6</f>
        <v>16:00 to 19:30</v>
      </c>
      <c r="C6" s="279" t="str">
        <f>'Annex 1 LV and HV charges_M'!C6</f>
        <v>08:00 to 16:00
19:30 to 22:00</v>
      </c>
      <c r="D6" s="279" t="str">
        <f>'Annex 1 LV and HV charges_M'!E6</f>
        <v>00:00 to 08:00
22:00 to 24:00</v>
      </c>
      <c r="E6" s="45"/>
      <c r="F6" s="569" t="str">
        <f>'Annex 1 LV and HV charges_M'!G6</f>
        <v>Monday to Friday 
(Including Bank Holidays)
November to February Inclusive</v>
      </c>
      <c r="G6" s="569" t="str">
        <f>'Annex 1 LV and HV charges_M'!H6</f>
        <v/>
      </c>
      <c r="H6" s="13" t="str">
        <f>'Annex 1 LV and HV charges_M'!I6</f>
        <v>16:00 to 19:30</v>
      </c>
      <c r="I6" s="279" t="str">
        <f>'Annex 1 LV and HV charges_M'!J6</f>
        <v>08:00 to 16:00
19:30 to 22:00</v>
      </c>
      <c r="J6" s="279" t="str">
        <f>'Annex 1 LV and HV charges_M'!K6</f>
        <v>00:00 to 08:00
22:00 to 24:00</v>
      </c>
    </row>
    <row r="7" spans="1:10" ht="40" customHeight="1" x14ac:dyDescent="0.3">
      <c r="A7" s="105" t="str">
        <f>'Annex 1 LV and HV charges_M'!A7</f>
        <v>Saturday and Sunday
All Year</v>
      </c>
      <c r="B7" s="113" t="str">
        <f>'Annex 1 LV and HV charges_M'!B7</f>
        <v/>
      </c>
      <c r="C7" s="113" t="str">
        <f>'Annex 1 LV and HV charges_M'!C7</f>
        <v/>
      </c>
      <c r="D7" s="279" t="str">
        <f>'Annex 1 LV and HV charges_M'!E7</f>
        <v>00:00 to 24:00</v>
      </c>
      <c r="E7" s="45"/>
      <c r="F7" s="569" t="str">
        <f>'Annex 1 LV and HV charges_M'!G7</f>
        <v>Monday to Friday 
(Including Bank Holidays)
April to October Inclusive and March</v>
      </c>
      <c r="G7" s="569" t="str">
        <f>'Annex 1 LV and HV charges_M'!H7</f>
        <v/>
      </c>
      <c r="H7" s="113" t="str">
        <f>'Annex 1 LV and HV charges_M'!I7</f>
        <v/>
      </c>
      <c r="I7" s="279" t="str">
        <f>'Annex 1 LV and HV charges_M'!J7</f>
        <v>08:00 to 22:00</v>
      </c>
      <c r="J7" s="279" t="str">
        <f>'Annex 1 LV and HV charges_M'!K7</f>
        <v>00:00 to 08:00
22:00 to 24:00</v>
      </c>
    </row>
    <row r="8" spans="1:10" ht="40" customHeight="1" x14ac:dyDescent="0.3">
      <c r="A8" s="465" t="str">
        <f>'Annex 1 LV and HV charges_M'!A8</f>
        <v>Notes</v>
      </c>
      <c r="B8" s="537" t="str">
        <f>'Annex 1 LV and HV charges_M'!B8</f>
        <v>All the above times are in UK Clock time</v>
      </c>
      <c r="C8" s="546" t="str">
        <f>'Annex 1 LV and HV charges_M'!C8</f>
        <v/>
      </c>
      <c r="D8" s="538" t="str">
        <f>'Annex 1 LV and HV charges_M'!D8</f>
        <v/>
      </c>
      <c r="E8" s="45"/>
      <c r="F8" s="569" t="str">
        <f>'Annex 1 LV and HV charges_M'!G8</f>
        <v>Saturday and Sunday
All year</v>
      </c>
      <c r="G8" s="569" t="str">
        <f>'Annex 1 LV and HV charges_M'!H8</f>
        <v/>
      </c>
      <c r="H8" s="113" t="str">
        <f>'Annex 1 LV and HV charges_M'!I8</f>
        <v/>
      </c>
      <c r="I8" s="113" t="str">
        <f>'Annex 1 LV and HV charges_M'!J8</f>
        <v/>
      </c>
      <c r="J8" s="279" t="str">
        <f>'Annex 1 LV and HV charges_M'!K8</f>
        <v>00:00 to 24:00</v>
      </c>
    </row>
    <row r="9" spans="1:10" s="47" customFormat="1" ht="40" customHeight="1" x14ac:dyDescent="0.3">
      <c r="B9" s="45"/>
      <c r="C9" s="45"/>
      <c r="D9" s="45"/>
      <c r="E9" s="49"/>
      <c r="F9" s="569" t="str">
        <f>'Annex 1 LV and HV charges_M'!G9</f>
        <v>Notes</v>
      </c>
      <c r="G9" s="569" t="str">
        <f>'Annex 1 LV and HV charges_M'!H9</f>
        <v/>
      </c>
      <c r="H9" s="569" t="str">
        <f>'Annex 1 LV and HV charges_M'!I9</f>
        <v>All the above times are in UK Clock time</v>
      </c>
      <c r="I9" s="569" t="str">
        <f>'Annex 1 LV and HV charges_M'!J9</f>
        <v/>
      </c>
      <c r="J9" s="569" t="str">
        <f>'Annex 1 LV and HV charges_M'!K9</f>
        <v/>
      </c>
    </row>
    <row r="10" spans="1:10" s="47" customFormat="1" ht="40" customHeight="1" x14ac:dyDescent="0.3">
      <c r="A10" s="45"/>
      <c r="B10" s="45"/>
      <c r="C10" s="45"/>
      <c r="D10" s="518" t="s">
        <v>480</v>
      </c>
      <c r="E10" s="45"/>
      <c r="F10" s="50"/>
      <c r="G10" s="50"/>
      <c r="H10" s="51"/>
      <c r="I10" s="51"/>
      <c r="J10" s="51"/>
    </row>
    <row r="11" spans="1:10" ht="75" customHeight="1" x14ac:dyDescent="0.3">
      <c r="A11" s="440" t="s">
        <v>455</v>
      </c>
      <c r="B11" s="440" t="s">
        <v>31</v>
      </c>
      <c r="C11" s="439" t="s">
        <v>24</v>
      </c>
      <c r="D11" s="439">
        <v>4.1920000000000002</v>
      </c>
      <c r="E11" s="439">
        <v>0.879</v>
      </c>
      <c r="F11" s="439">
        <v>8.5999999999999993E-2</v>
      </c>
      <c r="G11" s="439">
        <v>0</v>
      </c>
      <c r="H11" s="439">
        <v>0</v>
      </c>
      <c r="I11" s="439">
        <v>0</v>
      </c>
      <c r="J11" s="439">
        <v>0</v>
      </c>
    </row>
    <row r="12" spans="1:10" ht="35.049999999999997" customHeight="1" x14ac:dyDescent="0.3">
      <c r="A12" s="452" t="s">
        <v>786</v>
      </c>
      <c r="B12" s="453" t="s">
        <v>480</v>
      </c>
      <c r="C12" s="454" t="s">
        <v>639</v>
      </c>
      <c r="D12" s="441">
        <v>2.5339999999999998</v>
      </c>
      <c r="E12" s="442">
        <v>0.68</v>
      </c>
      <c r="F12" s="443">
        <v>9.7000000000000003E-2</v>
      </c>
      <c r="G12" s="455">
        <v>9.82</v>
      </c>
      <c r="H12" s="445">
        <v>0</v>
      </c>
      <c r="I12" s="445">
        <v>0</v>
      </c>
      <c r="J12" s="446">
        <v>0</v>
      </c>
    </row>
    <row r="13" spans="1:10" ht="35.049999999999997" customHeight="1" x14ac:dyDescent="0.3">
      <c r="A13" s="452" t="s">
        <v>787</v>
      </c>
      <c r="B13" s="453" t="s">
        <v>480</v>
      </c>
      <c r="C13" s="454">
        <v>2</v>
      </c>
      <c r="D13" s="441">
        <v>2.5339999999999998</v>
      </c>
      <c r="E13" s="442">
        <v>0.68</v>
      </c>
      <c r="F13" s="443">
        <v>9.7000000000000003E-2</v>
      </c>
      <c r="G13" s="445">
        <v>0</v>
      </c>
      <c r="H13" s="445">
        <v>0</v>
      </c>
      <c r="I13" s="445">
        <v>0</v>
      </c>
      <c r="J13" s="446">
        <v>0</v>
      </c>
    </row>
    <row r="14" spans="1:10" ht="35.049999999999997" customHeight="1" x14ac:dyDescent="0.3">
      <c r="A14" s="452" t="s">
        <v>788</v>
      </c>
      <c r="B14" s="453" t="s">
        <v>480</v>
      </c>
      <c r="C14" s="454" t="s">
        <v>640</v>
      </c>
      <c r="D14" s="441">
        <v>2.7610000000000001</v>
      </c>
      <c r="E14" s="442">
        <v>0.74099999999999999</v>
      </c>
      <c r="F14" s="443">
        <v>0.105</v>
      </c>
      <c r="G14" s="455">
        <v>4.32</v>
      </c>
      <c r="H14" s="445">
        <v>0</v>
      </c>
      <c r="I14" s="445">
        <v>0</v>
      </c>
      <c r="J14" s="446">
        <v>0</v>
      </c>
    </row>
    <row r="15" spans="1:10" ht="35.049999999999997" customHeight="1" x14ac:dyDescent="0.3">
      <c r="A15" s="452" t="s">
        <v>789</v>
      </c>
      <c r="B15" s="453" t="s">
        <v>480</v>
      </c>
      <c r="C15" s="454" t="s">
        <v>640</v>
      </c>
      <c r="D15" s="441">
        <v>2.7610000000000001</v>
      </c>
      <c r="E15" s="442">
        <v>0.74099999999999999</v>
      </c>
      <c r="F15" s="443">
        <v>0.105</v>
      </c>
      <c r="G15" s="455">
        <v>6.95</v>
      </c>
      <c r="H15" s="445">
        <v>0</v>
      </c>
      <c r="I15" s="445">
        <v>0</v>
      </c>
      <c r="J15" s="446">
        <v>0</v>
      </c>
    </row>
    <row r="16" spans="1:10" ht="35.049999999999997" customHeight="1" x14ac:dyDescent="0.3">
      <c r="A16" s="452" t="s">
        <v>790</v>
      </c>
      <c r="B16" s="453" t="s">
        <v>480</v>
      </c>
      <c r="C16" s="454" t="s">
        <v>640</v>
      </c>
      <c r="D16" s="441">
        <v>2.7610000000000001</v>
      </c>
      <c r="E16" s="442">
        <v>0.74099999999999999</v>
      </c>
      <c r="F16" s="443">
        <v>0.105</v>
      </c>
      <c r="G16" s="455">
        <v>17.510000000000002</v>
      </c>
      <c r="H16" s="445">
        <v>0</v>
      </c>
      <c r="I16" s="445">
        <v>0</v>
      </c>
      <c r="J16" s="446">
        <v>0</v>
      </c>
    </row>
    <row r="17" spans="1:10" ht="35.049999999999997" customHeight="1" x14ac:dyDescent="0.3">
      <c r="A17" s="452" t="s">
        <v>791</v>
      </c>
      <c r="B17" s="453" t="s">
        <v>480</v>
      </c>
      <c r="C17" s="454" t="s">
        <v>640</v>
      </c>
      <c r="D17" s="441">
        <v>2.7610000000000001</v>
      </c>
      <c r="E17" s="442">
        <v>0.74099999999999999</v>
      </c>
      <c r="F17" s="443">
        <v>0.105</v>
      </c>
      <c r="G17" s="455">
        <v>37.26</v>
      </c>
      <c r="H17" s="445">
        <v>0</v>
      </c>
      <c r="I17" s="445">
        <v>0</v>
      </c>
      <c r="J17" s="446">
        <v>0</v>
      </c>
    </row>
    <row r="18" spans="1:10" ht="35.049999999999997" customHeight="1" x14ac:dyDescent="0.3">
      <c r="A18" s="452" t="s">
        <v>792</v>
      </c>
      <c r="B18" s="453" t="s">
        <v>480</v>
      </c>
      <c r="C18" s="454" t="s">
        <v>640</v>
      </c>
      <c r="D18" s="441">
        <v>2.7610000000000001</v>
      </c>
      <c r="E18" s="442">
        <v>0.74099999999999999</v>
      </c>
      <c r="F18" s="443">
        <v>0.105</v>
      </c>
      <c r="G18" s="455">
        <v>107.98</v>
      </c>
      <c r="H18" s="445">
        <v>0</v>
      </c>
      <c r="I18" s="445">
        <v>0</v>
      </c>
      <c r="J18" s="446">
        <v>0</v>
      </c>
    </row>
    <row r="19" spans="1:10" ht="35.049999999999997" customHeight="1" x14ac:dyDescent="0.3">
      <c r="A19" s="452" t="s">
        <v>582</v>
      </c>
      <c r="B19" s="453" t="s">
        <v>480</v>
      </c>
      <c r="C19" s="454">
        <v>4</v>
      </c>
      <c r="D19" s="441">
        <v>2.7610000000000001</v>
      </c>
      <c r="E19" s="442">
        <v>0.74099999999999999</v>
      </c>
      <c r="F19" s="443">
        <v>0.105</v>
      </c>
      <c r="G19" s="445">
        <v>0</v>
      </c>
      <c r="H19" s="445">
        <v>0</v>
      </c>
      <c r="I19" s="445">
        <v>0</v>
      </c>
      <c r="J19" s="446">
        <v>0</v>
      </c>
    </row>
    <row r="20" spans="1:10" ht="35.049999999999997" customHeight="1" x14ac:dyDescent="0.3">
      <c r="A20" s="452" t="s">
        <v>793</v>
      </c>
      <c r="B20" s="453" t="s">
        <v>480</v>
      </c>
      <c r="C20" s="454">
        <v>0</v>
      </c>
      <c r="D20" s="441">
        <v>2.1520000000000001</v>
      </c>
      <c r="E20" s="442">
        <v>0.57299999999999995</v>
      </c>
      <c r="F20" s="443">
        <v>8.1000000000000003E-2</v>
      </c>
      <c r="G20" s="455">
        <v>9.09</v>
      </c>
      <c r="H20" s="455">
        <v>0.82</v>
      </c>
      <c r="I20" s="456">
        <v>1.73</v>
      </c>
      <c r="J20" s="448">
        <v>6.0999999999999999E-2</v>
      </c>
    </row>
    <row r="21" spans="1:10" ht="35.049999999999997" customHeight="1" x14ac:dyDescent="0.3">
      <c r="A21" s="452" t="s">
        <v>794</v>
      </c>
      <c r="B21" s="453" t="s">
        <v>480</v>
      </c>
      <c r="C21" s="454">
        <v>0</v>
      </c>
      <c r="D21" s="441">
        <v>2.1520000000000001</v>
      </c>
      <c r="E21" s="442">
        <v>0.57299999999999995</v>
      </c>
      <c r="F21" s="443">
        <v>8.1000000000000003E-2</v>
      </c>
      <c r="G21" s="455">
        <v>162.11000000000001</v>
      </c>
      <c r="H21" s="455">
        <v>0.82</v>
      </c>
      <c r="I21" s="456">
        <v>1.73</v>
      </c>
      <c r="J21" s="448">
        <v>6.0999999999999999E-2</v>
      </c>
    </row>
    <row r="22" spans="1:10" ht="35.049999999999997" customHeight="1" x14ac:dyDescent="0.3">
      <c r="A22" s="452" t="s">
        <v>795</v>
      </c>
      <c r="B22" s="453" t="s">
        <v>480</v>
      </c>
      <c r="C22" s="454">
        <v>0</v>
      </c>
      <c r="D22" s="441">
        <v>2.1520000000000001</v>
      </c>
      <c r="E22" s="442">
        <v>0.57299999999999995</v>
      </c>
      <c r="F22" s="443">
        <v>8.1000000000000003E-2</v>
      </c>
      <c r="G22" s="455">
        <v>320.87</v>
      </c>
      <c r="H22" s="455">
        <v>0.82</v>
      </c>
      <c r="I22" s="456">
        <v>1.73</v>
      </c>
      <c r="J22" s="448">
        <v>6.0999999999999999E-2</v>
      </c>
    </row>
    <row r="23" spans="1:10" ht="35.049999999999997" customHeight="1" x14ac:dyDescent="0.3">
      <c r="A23" s="452" t="s">
        <v>796</v>
      </c>
      <c r="B23" s="453" t="s">
        <v>480</v>
      </c>
      <c r="C23" s="454">
        <v>0</v>
      </c>
      <c r="D23" s="441">
        <v>2.1520000000000001</v>
      </c>
      <c r="E23" s="442">
        <v>0.57299999999999995</v>
      </c>
      <c r="F23" s="443">
        <v>8.1000000000000003E-2</v>
      </c>
      <c r="G23" s="455">
        <v>504.75</v>
      </c>
      <c r="H23" s="455">
        <v>0.82</v>
      </c>
      <c r="I23" s="456">
        <v>1.73</v>
      </c>
      <c r="J23" s="448">
        <v>6.0999999999999999E-2</v>
      </c>
    </row>
    <row r="24" spans="1:10" ht="35.049999999999997" customHeight="1" x14ac:dyDescent="0.3">
      <c r="A24" s="452" t="s">
        <v>797</v>
      </c>
      <c r="B24" s="453" t="s">
        <v>480</v>
      </c>
      <c r="C24" s="454">
        <v>0</v>
      </c>
      <c r="D24" s="441">
        <v>2.1520000000000001</v>
      </c>
      <c r="E24" s="442">
        <v>0.57299999999999995</v>
      </c>
      <c r="F24" s="443">
        <v>8.1000000000000003E-2</v>
      </c>
      <c r="G24" s="455">
        <v>992.73</v>
      </c>
      <c r="H24" s="455">
        <v>0.82</v>
      </c>
      <c r="I24" s="456">
        <v>1.73</v>
      </c>
      <c r="J24" s="448">
        <v>6.0999999999999999E-2</v>
      </c>
    </row>
    <row r="25" spans="1:10" ht="35.049999999999997" customHeight="1" x14ac:dyDescent="0.3">
      <c r="A25" s="452" t="s">
        <v>583</v>
      </c>
      <c r="B25" s="453" t="s">
        <v>618</v>
      </c>
      <c r="C25" s="454" t="s">
        <v>641</v>
      </c>
      <c r="D25" s="449">
        <v>7.2590000000000003</v>
      </c>
      <c r="E25" s="450">
        <v>1.22</v>
      </c>
      <c r="F25" s="451">
        <v>0.75</v>
      </c>
      <c r="G25" s="445">
        <v>0</v>
      </c>
      <c r="H25" s="445">
        <v>0</v>
      </c>
      <c r="I25" s="445">
        <v>0</v>
      </c>
      <c r="J25" s="446">
        <v>0</v>
      </c>
    </row>
    <row r="26" spans="1:10" ht="35.049999999999997" customHeight="1" x14ac:dyDescent="0.3">
      <c r="A26" s="452" t="s">
        <v>686</v>
      </c>
      <c r="B26" s="453" t="s">
        <v>480</v>
      </c>
      <c r="C26" s="454" t="s">
        <v>719</v>
      </c>
      <c r="D26" s="441">
        <v>-3.073</v>
      </c>
      <c r="E26" s="442">
        <v>-0.82499999999999996</v>
      </c>
      <c r="F26" s="443">
        <v>-0.11700000000000001</v>
      </c>
      <c r="G26" s="445">
        <v>0</v>
      </c>
      <c r="H26" s="445">
        <v>0</v>
      </c>
      <c r="I26" s="445">
        <v>0</v>
      </c>
      <c r="J26" s="446">
        <v>0</v>
      </c>
    </row>
    <row r="27" spans="1:10" ht="35.049999999999997" customHeight="1" x14ac:dyDescent="0.3">
      <c r="A27" s="452" t="s">
        <v>687</v>
      </c>
      <c r="B27" s="453" t="s">
        <v>480</v>
      </c>
      <c r="C27" s="454">
        <v>0</v>
      </c>
      <c r="D27" s="441">
        <v>-3.073</v>
      </c>
      <c r="E27" s="442">
        <v>-0.82499999999999996</v>
      </c>
      <c r="F27" s="443">
        <v>-0.11700000000000001</v>
      </c>
      <c r="G27" s="445">
        <v>0</v>
      </c>
      <c r="H27" s="445">
        <v>0</v>
      </c>
      <c r="I27" s="445">
        <v>0</v>
      </c>
      <c r="J27" s="448">
        <v>7.9000000000000001E-2</v>
      </c>
    </row>
    <row r="28" spans="1:10" ht="35.049999999999997" customHeight="1" x14ac:dyDescent="0.3">
      <c r="A28" s="457" t="s">
        <v>798</v>
      </c>
      <c r="B28" s="453" t="s">
        <v>480</v>
      </c>
      <c r="C28" s="454" t="s">
        <v>639</v>
      </c>
      <c r="D28" s="441">
        <v>1.756</v>
      </c>
      <c r="E28" s="442">
        <v>0.47199999999999998</v>
      </c>
      <c r="F28" s="443">
        <v>6.7000000000000004E-2</v>
      </c>
      <c r="G28" s="455">
        <v>6.87</v>
      </c>
      <c r="H28" s="445">
        <v>0</v>
      </c>
      <c r="I28" s="445">
        <v>0</v>
      </c>
      <c r="J28" s="446">
        <v>0</v>
      </c>
    </row>
    <row r="29" spans="1:10" ht="35.049999999999997" customHeight="1" x14ac:dyDescent="0.3">
      <c r="A29" s="457" t="s">
        <v>799</v>
      </c>
      <c r="B29" s="453" t="s">
        <v>480</v>
      </c>
      <c r="C29" s="454">
        <v>2</v>
      </c>
      <c r="D29" s="441">
        <v>1.756</v>
      </c>
      <c r="E29" s="442">
        <v>0.47199999999999998</v>
      </c>
      <c r="F29" s="443">
        <v>6.7000000000000004E-2</v>
      </c>
      <c r="G29" s="445">
        <v>0</v>
      </c>
      <c r="H29" s="445">
        <v>0</v>
      </c>
      <c r="I29" s="445">
        <v>0</v>
      </c>
      <c r="J29" s="446">
        <v>0</v>
      </c>
    </row>
    <row r="30" spans="1:10" ht="35.049999999999997" customHeight="1" x14ac:dyDescent="0.3">
      <c r="A30" s="457" t="s">
        <v>800</v>
      </c>
      <c r="B30" s="453" t="s">
        <v>480</v>
      </c>
      <c r="C30" s="454" t="s">
        <v>640</v>
      </c>
      <c r="D30" s="441">
        <v>1.913</v>
      </c>
      <c r="E30" s="442">
        <v>0.51400000000000001</v>
      </c>
      <c r="F30" s="443">
        <v>7.2999999999999995E-2</v>
      </c>
      <c r="G30" s="455">
        <v>3.04</v>
      </c>
      <c r="H30" s="445">
        <v>0</v>
      </c>
      <c r="I30" s="445">
        <v>0</v>
      </c>
      <c r="J30" s="446">
        <v>0</v>
      </c>
    </row>
    <row r="31" spans="1:10" ht="35.049999999999997" customHeight="1" x14ac:dyDescent="0.3">
      <c r="A31" s="457" t="s">
        <v>801</v>
      </c>
      <c r="B31" s="453" t="s">
        <v>480</v>
      </c>
      <c r="C31" s="454" t="s">
        <v>640</v>
      </c>
      <c r="D31" s="441">
        <v>1.913</v>
      </c>
      <c r="E31" s="442">
        <v>0.51400000000000001</v>
      </c>
      <c r="F31" s="443">
        <v>7.2999999999999995E-2</v>
      </c>
      <c r="G31" s="455">
        <v>4.8499999999999996</v>
      </c>
      <c r="H31" s="445">
        <v>0</v>
      </c>
      <c r="I31" s="445">
        <v>0</v>
      </c>
      <c r="J31" s="446">
        <v>0</v>
      </c>
    </row>
    <row r="32" spans="1:10" ht="35.049999999999997" customHeight="1" x14ac:dyDescent="0.3">
      <c r="A32" s="457" t="s">
        <v>802</v>
      </c>
      <c r="B32" s="453" t="s">
        <v>480</v>
      </c>
      <c r="C32" s="454" t="s">
        <v>640</v>
      </c>
      <c r="D32" s="441">
        <v>1.913</v>
      </c>
      <c r="E32" s="442">
        <v>0.51400000000000001</v>
      </c>
      <c r="F32" s="443">
        <v>7.2999999999999995E-2</v>
      </c>
      <c r="G32" s="455">
        <v>12.18</v>
      </c>
      <c r="H32" s="445">
        <v>0</v>
      </c>
      <c r="I32" s="445">
        <v>0</v>
      </c>
      <c r="J32" s="446">
        <v>0</v>
      </c>
    </row>
    <row r="33" spans="1:10" ht="35.049999999999997" customHeight="1" x14ac:dyDescent="0.3">
      <c r="A33" s="457" t="s">
        <v>803</v>
      </c>
      <c r="B33" s="453" t="s">
        <v>480</v>
      </c>
      <c r="C33" s="454" t="s">
        <v>640</v>
      </c>
      <c r="D33" s="441">
        <v>1.913</v>
      </c>
      <c r="E33" s="442">
        <v>0.51400000000000001</v>
      </c>
      <c r="F33" s="443">
        <v>7.2999999999999995E-2</v>
      </c>
      <c r="G33" s="455">
        <v>25.86</v>
      </c>
      <c r="H33" s="445">
        <v>0</v>
      </c>
      <c r="I33" s="445">
        <v>0</v>
      </c>
      <c r="J33" s="446">
        <v>0</v>
      </c>
    </row>
    <row r="34" spans="1:10" ht="35.049999999999997" customHeight="1" x14ac:dyDescent="0.3">
      <c r="A34" s="457" t="s">
        <v>804</v>
      </c>
      <c r="B34" s="453" t="s">
        <v>480</v>
      </c>
      <c r="C34" s="454" t="s">
        <v>640</v>
      </c>
      <c r="D34" s="441">
        <v>1.913</v>
      </c>
      <c r="E34" s="442">
        <v>0.51400000000000001</v>
      </c>
      <c r="F34" s="443">
        <v>7.2999999999999995E-2</v>
      </c>
      <c r="G34" s="455">
        <v>74.86</v>
      </c>
      <c r="H34" s="445">
        <v>0</v>
      </c>
      <c r="I34" s="445">
        <v>0</v>
      </c>
      <c r="J34" s="446">
        <v>0</v>
      </c>
    </row>
    <row r="35" spans="1:10" ht="35.049999999999997" customHeight="1" x14ac:dyDescent="0.3">
      <c r="A35" s="457" t="s">
        <v>584</v>
      </c>
      <c r="B35" s="453" t="s">
        <v>480</v>
      </c>
      <c r="C35" s="454">
        <v>4</v>
      </c>
      <c r="D35" s="441">
        <v>1.913</v>
      </c>
      <c r="E35" s="442">
        <v>0.51400000000000001</v>
      </c>
      <c r="F35" s="443">
        <v>7.2999999999999995E-2</v>
      </c>
      <c r="G35" s="445">
        <v>0</v>
      </c>
      <c r="H35" s="445">
        <v>0</v>
      </c>
      <c r="I35" s="445">
        <v>0</v>
      </c>
      <c r="J35" s="446">
        <v>0</v>
      </c>
    </row>
    <row r="36" spans="1:10" ht="35.049999999999997" customHeight="1" x14ac:dyDescent="0.3">
      <c r="A36" s="457" t="s">
        <v>805</v>
      </c>
      <c r="B36" s="453" t="s">
        <v>480</v>
      </c>
      <c r="C36" s="454">
        <v>0</v>
      </c>
      <c r="D36" s="441">
        <v>1.4910000000000001</v>
      </c>
      <c r="E36" s="442">
        <v>0.39700000000000002</v>
      </c>
      <c r="F36" s="443">
        <v>5.6000000000000001E-2</v>
      </c>
      <c r="G36" s="455">
        <v>6.34</v>
      </c>
      <c r="H36" s="455">
        <v>0.56999999999999995</v>
      </c>
      <c r="I36" s="456">
        <v>1.2</v>
      </c>
      <c r="J36" s="448">
        <v>4.2999999999999997E-2</v>
      </c>
    </row>
    <row r="37" spans="1:10" ht="35.049999999999997" customHeight="1" x14ac:dyDescent="0.3">
      <c r="A37" s="457" t="s">
        <v>806</v>
      </c>
      <c r="B37" s="453" t="s">
        <v>480</v>
      </c>
      <c r="C37" s="454">
        <v>0</v>
      </c>
      <c r="D37" s="441">
        <v>1.4910000000000001</v>
      </c>
      <c r="E37" s="442">
        <v>0.39700000000000002</v>
      </c>
      <c r="F37" s="443">
        <v>5.6000000000000001E-2</v>
      </c>
      <c r="G37" s="455">
        <v>112.37</v>
      </c>
      <c r="H37" s="455">
        <v>0.56999999999999995</v>
      </c>
      <c r="I37" s="456">
        <v>1.2</v>
      </c>
      <c r="J37" s="448">
        <v>4.2999999999999997E-2</v>
      </c>
    </row>
    <row r="38" spans="1:10" ht="35.049999999999997" customHeight="1" x14ac:dyDescent="0.3">
      <c r="A38" s="457" t="s">
        <v>807</v>
      </c>
      <c r="B38" s="453" t="s">
        <v>480</v>
      </c>
      <c r="C38" s="454">
        <v>0</v>
      </c>
      <c r="D38" s="441">
        <v>1.4910000000000001</v>
      </c>
      <c r="E38" s="442">
        <v>0.39700000000000002</v>
      </c>
      <c r="F38" s="443">
        <v>5.6000000000000001E-2</v>
      </c>
      <c r="G38" s="455">
        <v>222.39</v>
      </c>
      <c r="H38" s="455">
        <v>0.56999999999999995</v>
      </c>
      <c r="I38" s="456">
        <v>1.2</v>
      </c>
      <c r="J38" s="448">
        <v>4.2999999999999997E-2</v>
      </c>
    </row>
    <row r="39" spans="1:10" ht="35.049999999999997" customHeight="1" x14ac:dyDescent="0.3">
      <c r="A39" s="457" t="s">
        <v>808</v>
      </c>
      <c r="B39" s="453" t="s">
        <v>480</v>
      </c>
      <c r="C39" s="454">
        <v>0</v>
      </c>
      <c r="D39" s="441">
        <v>1.4910000000000001</v>
      </c>
      <c r="E39" s="442">
        <v>0.39700000000000002</v>
      </c>
      <c r="F39" s="443">
        <v>5.6000000000000001E-2</v>
      </c>
      <c r="G39" s="455">
        <v>349.8</v>
      </c>
      <c r="H39" s="455">
        <v>0.56999999999999995</v>
      </c>
      <c r="I39" s="456">
        <v>1.2</v>
      </c>
      <c r="J39" s="448">
        <v>4.2999999999999997E-2</v>
      </c>
    </row>
    <row r="40" spans="1:10" ht="35.049999999999997" customHeight="1" x14ac:dyDescent="0.3">
      <c r="A40" s="457" t="s">
        <v>809</v>
      </c>
      <c r="B40" s="453" t="s">
        <v>480</v>
      </c>
      <c r="C40" s="454">
        <v>0</v>
      </c>
      <c r="D40" s="441">
        <v>1.4910000000000001</v>
      </c>
      <c r="E40" s="442">
        <v>0.39700000000000002</v>
      </c>
      <c r="F40" s="443">
        <v>5.6000000000000001E-2</v>
      </c>
      <c r="G40" s="455">
        <v>687.94</v>
      </c>
      <c r="H40" s="455">
        <v>0.56999999999999995</v>
      </c>
      <c r="I40" s="456">
        <v>1.2</v>
      </c>
      <c r="J40" s="448">
        <v>4.2999999999999997E-2</v>
      </c>
    </row>
    <row r="41" spans="1:10" ht="35.049999999999997" customHeight="1" x14ac:dyDescent="0.3">
      <c r="A41" s="457" t="s">
        <v>810</v>
      </c>
      <c r="B41" s="453" t="s">
        <v>480</v>
      </c>
      <c r="C41" s="454">
        <v>0</v>
      </c>
      <c r="D41" s="441">
        <v>1.7110000000000001</v>
      </c>
      <c r="E41" s="442">
        <v>0.44700000000000001</v>
      </c>
      <c r="F41" s="443">
        <v>6.3E-2</v>
      </c>
      <c r="G41" s="455">
        <v>10.53</v>
      </c>
      <c r="H41" s="455">
        <v>1.08</v>
      </c>
      <c r="I41" s="456">
        <v>1.68</v>
      </c>
      <c r="J41" s="448">
        <v>4.4999999999999998E-2</v>
      </c>
    </row>
    <row r="42" spans="1:10" ht="35.049999999999997" customHeight="1" x14ac:dyDescent="0.3">
      <c r="A42" s="457" t="s">
        <v>811</v>
      </c>
      <c r="B42" s="453" t="s">
        <v>480</v>
      </c>
      <c r="C42" s="454">
        <v>0</v>
      </c>
      <c r="D42" s="441">
        <v>1.7110000000000001</v>
      </c>
      <c r="E42" s="442">
        <v>0.44700000000000001</v>
      </c>
      <c r="F42" s="443">
        <v>6.3E-2</v>
      </c>
      <c r="G42" s="455">
        <v>188.08</v>
      </c>
      <c r="H42" s="455">
        <v>1.08</v>
      </c>
      <c r="I42" s="456">
        <v>1.68</v>
      </c>
      <c r="J42" s="448">
        <v>4.4999999999999998E-2</v>
      </c>
    </row>
    <row r="43" spans="1:10" ht="35.049999999999997" customHeight="1" x14ac:dyDescent="0.3">
      <c r="A43" s="457" t="s">
        <v>812</v>
      </c>
      <c r="B43" s="453" t="s">
        <v>480</v>
      </c>
      <c r="C43" s="454">
        <v>0</v>
      </c>
      <c r="D43" s="441">
        <v>1.7110000000000001</v>
      </c>
      <c r="E43" s="442">
        <v>0.44700000000000001</v>
      </c>
      <c r="F43" s="443">
        <v>6.3E-2</v>
      </c>
      <c r="G43" s="455">
        <v>372.31</v>
      </c>
      <c r="H43" s="455">
        <v>1.08</v>
      </c>
      <c r="I43" s="456">
        <v>1.68</v>
      </c>
      <c r="J43" s="448">
        <v>4.4999999999999998E-2</v>
      </c>
    </row>
    <row r="44" spans="1:10" ht="35.049999999999997" customHeight="1" x14ac:dyDescent="0.3">
      <c r="A44" s="457" t="s">
        <v>813</v>
      </c>
      <c r="B44" s="453" t="s">
        <v>480</v>
      </c>
      <c r="C44" s="454">
        <v>0</v>
      </c>
      <c r="D44" s="441">
        <v>1.7110000000000001</v>
      </c>
      <c r="E44" s="442">
        <v>0.44700000000000001</v>
      </c>
      <c r="F44" s="443">
        <v>6.3E-2</v>
      </c>
      <c r="G44" s="455">
        <v>585.67999999999995</v>
      </c>
      <c r="H44" s="455">
        <v>1.08</v>
      </c>
      <c r="I44" s="456">
        <v>1.68</v>
      </c>
      <c r="J44" s="448">
        <v>4.4999999999999998E-2</v>
      </c>
    </row>
    <row r="45" spans="1:10" ht="35.049999999999997" customHeight="1" x14ac:dyDescent="0.3">
      <c r="A45" s="457" t="s">
        <v>814</v>
      </c>
      <c r="B45" s="453" t="s">
        <v>480</v>
      </c>
      <c r="C45" s="454">
        <v>0</v>
      </c>
      <c r="D45" s="441">
        <v>1.7110000000000001</v>
      </c>
      <c r="E45" s="442">
        <v>0.44700000000000001</v>
      </c>
      <c r="F45" s="443">
        <v>6.3E-2</v>
      </c>
      <c r="G45" s="455">
        <v>1151.9100000000001</v>
      </c>
      <c r="H45" s="455">
        <v>1.08</v>
      </c>
      <c r="I45" s="456">
        <v>1.68</v>
      </c>
      <c r="J45" s="448">
        <v>4.4999999999999998E-2</v>
      </c>
    </row>
    <row r="46" spans="1:10" ht="35.049999999999997" customHeight="1" x14ac:dyDescent="0.3">
      <c r="A46" s="457" t="s">
        <v>815</v>
      </c>
      <c r="B46" s="453" t="s">
        <v>480</v>
      </c>
      <c r="C46" s="454">
        <v>0</v>
      </c>
      <c r="D46" s="441">
        <v>1.44</v>
      </c>
      <c r="E46" s="442">
        <v>0.36499999999999999</v>
      </c>
      <c r="F46" s="443">
        <v>5.1999999999999998E-2</v>
      </c>
      <c r="G46" s="455">
        <v>159.02000000000001</v>
      </c>
      <c r="H46" s="455">
        <v>1.64</v>
      </c>
      <c r="I46" s="456">
        <v>2.62</v>
      </c>
      <c r="J46" s="448">
        <v>3.5000000000000003E-2</v>
      </c>
    </row>
    <row r="47" spans="1:10" ht="35.049999999999997" customHeight="1" x14ac:dyDescent="0.3">
      <c r="A47" s="457" t="s">
        <v>816</v>
      </c>
      <c r="B47" s="453" t="s">
        <v>480</v>
      </c>
      <c r="C47" s="454">
        <v>0</v>
      </c>
      <c r="D47" s="441">
        <v>1.44</v>
      </c>
      <c r="E47" s="442">
        <v>0.36499999999999999</v>
      </c>
      <c r="F47" s="443">
        <v>5.1999999999999998E-2</v>
      </c>
      <c r="G47" s="455">
        <v>1484.53</v>
      </c>
      <c r="H47" s="455">
        <v>1.64</v>
      </c>
      <c r="I47" s="456">
        <v>2.62</v>
      </c>
      <c r="J47" s="448">
        <v>3.5000000000000003E-2</v>
      </c>
    </row>
    <row r="48" spans="1:10" ht="35.049999999999997" customHeight="1" x14ac:dyDescent="0.3">
      <c r="A48" s="457" t="s">
        <v>817</v>
      </c>
      <c r="B48" s="453" t="s">
        <v>480</v>
      </c>
      <c r="C48" s="454">
        <v>0</v>
      </c>
      <c r="D48" s="441">
        <v>1.44</v>
      </c>
      <c r="E48" s="442">
        <v>0.36499999999999999</v>
      </c>
      <c r="F48" s="443">
        <v>5.1999999999999998E-2</v>
      </c>
      <c r="G48" s="455">
        <v>4152.1499999999996</v>
      </c>
      <c r="H48" s="455">
        <v>1.64</v>
      </c>
      <c r="I48" s="456">
        <v>2.62</v>
      </c>
      <c r="J48" s="448">
        <v>3.5000000000000003E-2</v>
      </c>
    </row>
    <row r="49" spans="1:10" ht="35.049999999999997" customHeight="1" x14ac:dyDescent="0.3">
      <c r="A49" s="457" t="s">
        <v>818</v>
      </c>
      <c r="B49" s="453" t="s">
        <v>480</v>
      </c>
      <c r="C49" s="454">
        <v>0</v>
      </c>
      <c r="D49" s="441">
        <v>1.44</v>
      </c>
      <c r="E49" s="442">
        <v>0.36499999999999999</v>
      </c>
      <c r="F49" s="443">
        <v>5.1999999999999998E-2</v>
      </c>
      <c r="G49" s="455">
        <v>8628.68</v>
      </c>
      <c r="H49" s="455">
        <v>1.64</v>
      </c>
      <c r="I49" s="456">
        <v>2.62</v>
      </c>
      <c r="J49" s="448">
        <v>3.5000000000000003E-2</v>
      </c>
    </row>
    <row r="50" spans="1:10" ht="35.049999999999997" customHeight="1" x14ac:dyDescent="0.3">
      <c r="A50" s="457" t="s">
        <v>819</v>
      </c>
      <c r="B50" s="453" t="s">
        <v>480</v>
      </c>
      <c r="C50" s="454">
        <v>0</v>
      </c>
      <c r="D50" s="441">
        <v>1.44</v>
      </c>
      <c r="E50" s="442">
        <v>0.36499999999999999</v>
      </c>
      <c r="F50" s="443">
        <v>5.1999999999999998E-2</v>
      </c>
      <c r="G50" s="455">
        <v>20522.939999999999</v>
      </c>
      <c r="H50" s="455">
        <v>1.64</v>
      </c>
      <c r="I50" s="456">
        <v>2.62</v>
      </c>
      <c r="J50" s="448">
        <v>3.5000000000000003E-2</v>
      </c>
    </row>
    <row r="51" spans="1:10" ht="35.049999999999997" customHeight="1" x14ac:dyDescent="0.3">
      <c r="A51" s="457" t="s">
        <v>585</v>
      </c>
      <c r="B51" s="453" t="s">
        <v>480</v>
      </c>
      <c r="C51" s="454" t="s">
        <v>641</v>
      </c>
      <c r="D51" s="449">
        <v>5.03</v>
      </c>
      <c r="E51" s="450">
        <v>0.84499999999999997</v>
      </c>
      <c r="F51" s="451">
        <v>0.52</v>
      </c>
      <c r="G51" s="445">
        <v>0</v>
      </c>
      <c r="H51" s="445">
        <v>0</v>
      </c>
      <c r="I51" s="445">
        <v>0</v>
      </c>
      <c r="J51" s="446">
        <v>0</v>
      </c>
    </row>
    <row r="52" spans="1:10" ht="35.049999999999997" customHeight="1" x14ac:dyDescent="0.3">
      <c r="A52" s="457" t="s">
        <v>688</v>
      </c>
      <c r="B52" s="453" t="s">
        <v>480</v>
      </c>
      <c r="C52" s="454" t="s">
        <v>719</v>
      </c>
      <c r="D52" s="441">
        <v>-3.073</v>
      </c>
      <c r="E52" s="442">
        <v>-0.82499999999999996</v>
      </c>
      <c r="F52" s="443">
        <v>-0.11700000000000001</v>
      </c>
      <c r="G52" s="445">
        <v>0</v>
      </c>
      <c r="H52" s="445">
        <v>0</v>
      </c>
      <c r="I52" s="445">
        <v>0</v>
      </c>
      <c r="J52" s="446">
        <v>0</v>
      </c>
    </row>
    <row r="53" spans="1:10" ht="35.049999999999997" customHeight="1" x14ac:dyDescent="0.3">
      <c r="A53" s="457" t="s">
        <v>689</v>
      </c>
      <c r="B53" s="453" t="s">
        <v>480</v>
      </c>
      <c r="C53" s="454">
        <v>8</v>
      </c>
      <c r="D53" s="441">
        <v>-2.7040000000000002</v>
      </c>
      <c r="E53" s="442">
        <v>-0.72299999999999998</v>
      </c>
      <c r="F53" s="443">
        <v>-0.10299999999999999</v>
      </c>
      <c r="G53" s="445">
        <v>0</v>
      </c>
      <c r="H53" s="445">
        <v>0</v>
      </c>
      <c r="I53" s="445">
        <v>0</v>
      </c>
      <c r="J53" s="446">
        <v>0</v>
      </c>
    </row>
    <row r="54" spans="1:10" ht="35.049999999999997" customHeight="1" x14ac:dyDescent="0.3">
      <c r="A54" s="457" t="s">
        <v>599</v>
      </c>
      <c r="B54" s="453" t="s">
        <v>480</v>
      </c>
      <c r="C54" s="454">
        <v>0</v>
      </c>
      <c r="D54" s="441">
        <v>-3.073</v>
      </c>
      <c r="E54" s="442">
        <v>-0.82499999999999996</v>
      </c>
      <c r="F54" s="443">
        <v>-0.11700000000000001</v>
      </c>
      <c r="G54" s="445">
        <v>0</v>
      </c>
      <c r="H54" s="445">
        <v>0</v>
      </c>
      <c r="I54" s="445">
        <v>0</v>
      </c>
      <c r="J54" s="448">
        <v>7.9000000000000001E-2</v>
      </c>
    </row>
    <row r="55" spans="1:10" ht="35.049999999999997" customHeight="1" x14ac:dyDescent="0.3">
      <c r="A55" s="457" t="s">
        <v>690</v>
      </c>
      <c r="B55" s="453" t="s">
        <v>480</v>
      </c>
      <c r="C55" s="454">
        <v>0</v>
      </c>
      <c r="D55" s="441">
        <v>-2.7040000000000002</v>
      </c>
      <c r="E55" s="442">
        <v>-0.72299999999999998</v>
      </c>
      <c r="F55" s="443">
        <v>-0.10299999999999999</v>
      </c>
      <c r="G55" s="445">
        <v>0</v>
      </c>
      <c r="H55" s="445">
        <v>0</v>
      </c>
      <c r="I55" s="445">
        <v>0</v>
      </c>
      <c r="J55" s="448">
        <v>7.3999999999999996E-2</v>
      </c>
    </row>
    <row r="56" spans="1:10" ht="35.049999999999997" customHeight="1" x14ac:dyDescent="0.3">
      <c r="A56" s="457" t="s">
        <v>600</v>
      </c>
      <c r="B56" s="453" t="s">
        <v>480</v>
      </c>
      <c r="C56" s="454">
        <v>0</v>
      </c>
      <c r="D56" s="441">
        <v>-1.944</v>
      </c>
      <c r="E56" s="442">
        <v>-0.50600000000000001</v>
      </c>
      <c r="F56" s="443">
        <v>-7.1999999999999995E-2</v>
      </c>
      <c r="G56" s="445">
        <v>0</v>
      </c>
      <c r="H56" s="445">
        <v>0</v>
      </c>
      <c r="I56" s="445">
        <v>0</v>
      </c>
      <c r="J56" s="448">
        <v>0.06</v>
      </c>
    </row>
    <row r="57" spans="1:10" ht="35.049999999999997" customHeight="1" x14ac:dyDescent="0.3">
      <c r="A57" s="452" t="s">
        <v>820</v>
      </c>
      <c r="B57" s="453" t="s">
        <v>480</v>
      </c>
      <c r="C57" s="454" t="s">
        <v>639</v>
      </c>
      <c r="D57" s="441">
        <v>1.1970000000000001</v>
      </c>
      <c r="E57" s="442">
        <v>0.32100000000000001</v>
      </c>
      <c r="F57" s="443">
        <v>4.5999999999999999E-2</v>
      </c>
      <c r="G57" s="455">
        <v>4.76</v>
      </c>
      <c r="H57" s="445">
        <v>0</v>
      </c>
      <c r="I57" s="445">
        <v>0</v>
      </c>
      <c r="J57" s="446">
        <v>0</v>
      </c>
    </row>
    <row r="58" spans="1:10" ht="35.049999999999997" customHeight="1" x14ac:dyDescent="0.3">
      <c r="A58" s="452" t="s">
        <v>821</v>
      </c>
      <c r="B58" s="453" t="s">
        <v>480</v>
      </c>
      <c r="C58" s="454">
        <v>2</v>
      </c>
      <c r="D58" s="441">
        <v>1.1970000000000001</v>
      </c>
      <c r="E58" s="442">
        <v>0.32100000000000001</v>
      </c>
      <c r="F58" s="443">
        <v>4.5999999999999999E-2</v>
      </c>
      <c r="G58" s="445">
        <v>0</v>
      </c>
      <c r="H58" s="445">
        <v>0</v>
      </c>
      <c r="I58" s="445">
        <v>0</v>
      </c>
      <c r="J58" s="446">
        <v>0</v>
      </c>
    </row>
    <row r="59" spans="1:10" ht="35.049999999999997" customHeight="1" x14ac:dyDescent="0.3">
      <c r="A59" s="452" t="s">
        <v>822</v>
      </c>
      <c r="B59" s="453" t="s">
        <v>480</v>
      </c>
      <c r="C59" s="454" t="s">
        <v>640</v>
      </c>
      <c r="D59" s="441">
        <v>1.304</v>
      </c>
      <c r="E59" s="442">
        <v>0.35</v>
      </c>
      <c r="F59" s="443">
        <v>0.05</v>
      </c>
      <c r="G59" s="455">
        <v>2.11</v>
      </c>
      <c r="H59" s="445">
        <v>0</v>
      </c>
      <c r="I59" s="445">
        <v>0</v>
      </c>
      <c r="J59" s="446">
        <v>0</v>
      </c>
    </row>
    <row r="60" spans="1:10" ht="35.049999999999997" customHeight="1" x14ac:dyDescent="0.3">
      <c r="A60" s="452" t="s">
        <v>823</v>
      </c>
      <c r="B60" s="453" t="s">
        <v>480</v>
      </c>
      <c r="C60" s="454" t="s">
        <v>640</v>
      </c>
      <c r="D60" s="441">
        <v>1.304</v>
      </c>
      <c r="E60" s="442">
        <v>0.35</v>
      </c>
      <c r="F60" s="443">
        <v>0.05</v>
      </c>
      <c r="G60" s="455">
        <v>3.35</v>
      </c>
      <c r="H60" s="445">
        <v>0</v>
      </c>
      <c r="I60" s="445">
        <v>0</v>
      </c>
      <c r="J60" s="446">
        <v>0</v>
      </c>
    </row>
    <row r="61" spans="1:10" ht="35.049999999999997" customHeight="1" x14ac:dyDescent="0.3">
      <c r="A61" s="452" t="s">
        <v>824</v>
      </c>
      <c r="B61" s="453" t="s">
        <v>480</v>
      </c>
      <c r="C61" s="454" t="s">
        <v>640</v>
      </c>
      <c r="D61" s="441">
        <v>1.304</v>
      </c>
      <c r="E61" s="442">
        <v>0.35</v>
      </c>
      <c r="F61" s="443">
        <v>0.05</v>
      </c>
      <c r="G61" s="455">
        <v>8.34</v>
      </c>
      <c r="H61" s="445">
        <v>0</v>
      </c>
      <c r="I61" s="445">
        <v>0</v>
      </c>
      <c r="J61" s="446">
        <v>0</v>
      </c>
    </row>
    <row r="62" spans="1:10" ht="35.049999999999997" customHeight="1" x14ac:dyDescent="0.3">
      <c r="A62" s="452" t="s">
        <v>825</v>
      </c>
      <c r="B62" s="453" t="s">
        <v>480</v>
      </c>
      <c r="C62" s="454" t="s">
        <v>640</v>
      </c>
      <c r="D62" s="441">
        <v>1.304</v>
      </c>
      <c r="E62" s="442">
        <v>0.35</v>
      </c>
      <c r="F62" s="443">
        <v>0.05</v>
      </c>
      <c r="G62" s="455">
        <v>17.670000000000002</v>
      </c>
      <c r="H62" s="445">
        <v>0</v>
      </c>
      <c r="I62" s="445">
        <v>0</v>
      </c>
      <c r="J62" s="446">
        <v>0</v>
      </c>
    </row>
    <row r="63" spans="1:10" ht="35.049999999999997" customHeight="1" x14ac:dyDescent="0.3">
      <c r="A63" s="452" t="s">
        <v>826</v>
      </c>
      <c r="B63" s="453" t="s">
        <v>480</v>
      </c>
      <c r="C63" s="454" t="s">
        <v>640</v>
      </c>
      <c r="D63" s="441">
        <v>1.304</v>
      </c>
      <c r="E63" s="442">
        <v>0.35</v>
      </c>
      <c r="F63" s="443">
        <v>0.05</v>
      </c>
      <c r="G63" s="455">
        <v>51.07</v>
      </c>
      <c r="H63" s="445">
        <v>0</v>
      </c>
      <c r="I63" s="445">
        <v>0</v>
      </c>
      <c r="J63" s="446">
        <v>0</v>
      </c>
    </row>
    <row r="64" spans="1:10" ht="35.049999999999997" customHeight="1" x14ac:dyDescent="0.3">
      <c r="A64" s="452" t="s">
        <v>586</v>
      </c>
      <c r="B64" s="453" t="s">
        <v>480</v>
      </c>
      <c r="C64" s="454">
        <v>4</v>
      </c>
      <c r="D64" s="441">
        <v>1.304</v>
      </c>
      <c r="E64" s="442">
        <v>0.35</v>
      </c>
      <c r="F64" s="443">
        <v>0.05</v>
      </c>
      <c r="G64" s="445">
        <v>0</v>
      </c>
      <c r="H64" s="445">
        <v>0</v>
      </c>
      <c r="I64" s="445">
        <v>0</v>
      </c>
      <c r="J64" s="446">
        <v>0</v>
      </c>
    </row>
    <row r="65" spans="1:10" ht="35.049999999999997" customHeight="1" x14ac:dyDescent="0.3">
      <c r="A65" s="452" t="s">
        <v>827</v>
      </c>
      <c r="B65" s="453" t="s">
        <v>480</v>
      </c>
      <c r="C65" s="454">
        <v>0</v>
      </c>
      <c r="D65" s="441">
        <v>1.016</v>
      </c>
      <c r="E65" s="442">
        <v>0.27100000000000002</v>
      </c>
      <c r="F65" s="443">
        <v>3.7999999999999999E-2</v>
      </c>
      <c r="G65" s="455">
        <v>4.37</v>
      </c>
      <c r="H65" s="455">
        <v>0.39</v>
      </c>
      <c r="I65" s="456">
        <v>0.82</v>
      </c>
      <c r="J65" s="448">
        <v>2.9000000000000001E-2</v>
      </c>
    </row>
    <row r="66" spans="1:10" ht="35.049999999999997" customHeight="1" x14ac:dyDescent="0.3">
      <c r="A66" s="452" t="s">
        <v>828</v>
      </c>
      <c r="B66" s="453" t="s">
        <v>480</v>
      </c>
      <c r="C66" s="454">
        <v>0</v>
      </c>
      <c r="D66" s="441">
        <v>1.016</v>
      </c>
      <c r="E66" s="442">
        <v>0.27100000000000002</v>
      </c>
      <c r="F66" s="443">
        <v>3.7999999999999999E-2</v>
      </c>
      <c r="G66" s="455">
        <v>76.64</v>
      </c>
      <c r="H66" s="455">
        <v>0.39</v>
      </c>
      <c r="I66" s="456">
        <v>0.82</v>
      </c>
      <c r="J66" s="448">
        <v>2.9000000000000001E-2</v>
      </c>
    </row>
    <row r="67" spans="1:10" ht="35.049999999999997" customHeight="1" x14ac:dyDescent="0.3">
      <c r="A67" s="452" t="s">
        <v>829</v>
      </c>
      <c r="B67" s="453" t="s">
        <v>480</v>
      </c>
      <c r="C67" s="454">
        <v>0</v>
      </c>
      <c r="D67" s="441">
        <v>1.016</v>
      </c>
      <c r="E67" s="442">
        <v>0.27100000000000002</v>
      </c>
      <c r="F67" s="443">
        <v>3.7999999999999999E-2</v>
      </c>
      <c r="G67" s="455">
        <v>151.63</v>
      </c>
      <c r="H67" s="455">
        <v>0.39</v>
      </c>
      <c r="I67" s="456">
        <v>0.82</v>
      </c>
      <c r="J67" s="448">
        <v>2.9000000000000001E-2</v>
      </c>
    </row>
    <row r="68" spans="1:10" ht="35.049999999999997" customHeight="1" x14ac:dyDescent="0.3">
      <c r="A68" s="452" t="s">
        <v>830</v>
      </c>
      <c r="B68" s="453" t="s">
        <v>480</v>
      </c>
      <c r="C68" s="454">
        <v>0</v>
      </c>
      <c r="D68" s="441">
        <v>1.016</v>
      </c>
      <c r="E68" s="442">
        <v>0.27100000000000002</v>
      </c>
      <c r="F68" s="443">
        <v>3.7999999999999999E-2</v>
      </c>
      <c r="G68" s="455">
        <v>238.48</v>
      </c>
      <c r="H68" s="455">
        <v>0.39</v>
      </c>
      <c r="I68" s="456">
        <v>0.82</v>
      </c>
      <c r="J68" s="448">
        <v>2.9000000000000001E-2</v>
      </c>
    </row>
    <row r="69" spans="1:10" ht="35.049999999999997" customHeight="1" x14ac:dyDescent="0.3">
      <c r="A69" s="452" t="s">
        <v>831</v>
      </c>
      <c r="B69" s="453" t="s">
        <v>480</v>
      </c>
      <c r="C69" s="454">
        <v>0</v>
      </c>
      <c r="D69" s="441">
        <v>1.016</v>
      </c>
      <c r="E69" s="442">
        <v>0.27100000000000002</v>
      </c>
      <c r="F69" s="443">
        <v>3.7999999999999999E-2</v>
      </c>
      <c r="G69" s="455">
        <v>468.96</v>
      </c>
      <c r="H69" s="455">
        <v>0.39</v>
      </c>
      <c r="I69" s="456">
        <v>0.82</v>
      </c>
      <c r="J69" s="448">
        <v>2.9000000000000001E-2</v>
      </c>
    </row>
    <row r="70" spans="1:10" ht="35.049999999999997" customHeight="1" x14ac:dyDescent="0.3">
      <c r="A70" s="452" t="s">
        <v>832</v>
      </c>
      <c r="B70" s="453" t="s">
        <v>480</v>
      </c>
      <c r="C70" s="454">
        <v>0</v>
      </c>
      <c r="D70" s="441">
        <v>1.153</v>
      </c>
      <c r="E70" s="442">
        <v>0.30099999999999999</v>
      </c>
      <c r="F70" s="443">
        <v>4.2999999999999997E-2</v>
      </c>
      <c r="G70" s="455">
        <v>7.14</v>
      </c>
      <c r="H70" s="455">
        <v>0.73</v>
      </c>
      <c r="I70" s="456">
        <v>1.1299999999999999</v>
      </c>
      <c r="J70" s="448">
        <v>3.1E-2</v>
      </c>
    </row>
    <row r="71" spans="1:10" ht="35.049999999999997" customHeight="1" x14ac:dyDescent="0.3">
      <c r="A71" s="452" t="s">
        <v>833</v>
      </c>
      <c r="B71" s="453" t="s">
        <v>480</v>
      </c>
      <c r="C71" s="454">
        <v>0</v>
      </c>
      <c r="D71" s="441">
        <v>1.153</v>
      </c>
      <c r="E71" s="442">
        <v>0.30099999999999999</v>
      </c>
      <c r="F71" s="443">
        <v>4.2999999999999997E-2</v>
      </c>
      <c r="G71" s="455">
        <v>126.78</v>
      </c>
      <c r="H71" s="455">
        <v>0.73</v>
      </c>
      <c r="I71" s="456">
        <v>1.1299999999999999</v>
      </c>
      <c r="J71" s="448">
        <v>3.1E-2</v>
      </c>
    </row>
    <row r="72" spans="1:10" ht="35.049999999999997" customHeight="1" x14ac:dyDescent="0.3">
      <c r="A72" s="452" t="s">
        <v>834</v>
      </c>
      <c r="B72" s="453" t="s">
        <v>480</v>
      </c>
      <c r="C72" s="454">
        <v>0</v>
      </c>
      <c r="D72" s="441">
        <v>1.153</v>
      </c>
      <c r="E72" s="442">
        <v>0.30099999999999999</v>
      </c>
      <c r="F72" s="443">
        <v>4.2999999999999997E-2</v>
      </c>
      <c r="G72" s="455">
        <v>250.91</v>
      </c>
      <c r="H72" s="455">
        <v>0.73</v>
      </c>
      <c r="I72" s="456">
        <v>1.1299999999999999</v>
      </c>
      <c r="J72" s="448">
        <v>3.1E-2</v>
      </c>
    </row>
    <row r="73" spans="1:10" ht="35.049999999999997" customHeight="1" x14ac:dyDescent="0.3">
      <c r="A73" s="452" t="s">
        <v>835</v>
      </c>
      <c r="B73" s="453" t="s">
        <v>480</v>
      </c>
      <c r="C73" s="454">
        <v>0</v>
      </c>
      <c r="D73" s="441">
        <v>1.153</v>
      </c>
      <c r="E73" s="442">
        <v>0.30099999999999999</v>
      </c>
      <c r="F73" s="443">
        <v>4.2999999999999997E-2</v>
      </c>
      <c r="G73" s="455">
        <v>394.68</v>
      </c>
      <c r="H73" s="455">
        <v>0.73</v>
      </c>
      <c r="I73" s="456">
        <v>1.1299999999999999</v>
      </c>
      <c r="J73" s="448">
        <v>3.1E-2</v>
      </c>
    </row>
    <row r="74" spans="1:10" ht="35.049999999999997" customHeight="1" x14ac:dyDescent="0.3">
      <c r="A74" s="452" t="s">
        <v>836</v>
      </c>
      <c r="B74" s="453" t="s">
        <v>480</v>
      </c>
      <c r="C74" s="454">
        <v>0</v>
      </c>
      <c r="D74" s="441">
        <v>1.153</v>
      </c>
      <c r="E74" s="442">
        <v>0.30099999999999999</v>
      </c>
      <c r="F74" s="443">
        <v>4.2999999999999997E-2</v>
      </c>
      <c r="G74" s="455">
        <v>776.22</v>
      </c>
      <c r="H74" s="455">
        <v>0.73</v>
      </c>
      <c r="I74" s="456">
        <v>1.1299999999999999</v>
      </c>
      <c r="J74" s="448">
        <v>3.1E-2</v>
      </c>
    </row>
    <row r="75" spans="1:10" ht="35.049999999999997" customHeight="1" x14ac:dyDescent="0.3">
      <c r="A75" s="452" t="s">
        <v>837</v>
      </c>
      <c r="B75" s="453" t="s">
        <v>480</v>
      </c>
      <c r="C75" s="454">
        <v>0</v>
      </c>
      <c r="D75" s="441">
        <v>0.96099999999999997</v>
      </c>
      <c r="E75" s="442">
        <v>0.24399999999999999</v>
      </c>
      <c r="F75" s="443">
        <v>3.5000000000000003E-2</v>
      </c>
      <c r="G75" s="455">
        <v>106.18</v>
      </c>
      <c r="H75" s="455">
        <v>1.1000000000000001</v>
      </c>
      <c r="I75" s="456">
        <v>1.75</v>
      </c>
      <c r="J75" s="448">
        <v>2.3E-2</v>
      </c>
    </row>
    <row r="76" spans="1:10" ht="35.049999999999997" customHeight="1" x14ac:dyDescent="0.3">
      <c r="A76" s="452" t="s">
        <v>838</v>
      </c>
      <c r="B76" s="453" t="s">
        <v>480</v>
      </c>
      <c r="C76" s="454">
        <v>0</v>
      </c>
      <c r="D76" s="441">
        <v>0.96099999999999997</v>
      </c>
      <c r="E76" s="442">
        <v>0.24399999999999999</v>
      </c>
      <c r="F76" s="443">
        <v>3.5000000000000003E-2</v>
      </c>
      <c r="G76" s="455">
        <v>990.92</v>
      </c>
      <c r="H76" s="455">
        <v>1.1000000000000001</v>
      </c>
      <c r="I76" s="456">
        <v>1.75</v>
      </c>
      <c r="J76" s="448">
        <v>2.3E-2</v>
      </c>
    </row>
    <row r="77" spans="1:10" ht="35.049999999999997" customHeight="1" x14ac:dyDescent="0.3">
      <c r="A77" s="452" t="s">
        <v>839</v>
      </c>
      <c r="B77" s="453" t="s">
        <v>480</v>
      </c>
      <c r="C77" s="454">
        <v>0</v>
      </c>
      <c r="D77" s="441">
        <v>0.96099999999999997</v>
      </c>
      <c r="E77" s="442">
        <v>0.24399999999999999</v>
      </c>
      <c r="F77" s="443">
        <v>3.5000000000000003E-2</v>
      </c>
      <c r="G77" s="455">
        <v>2771.45</v>
      </c>
      <c r="H77" s="455">
        <v>1.1000000000000001</v>
      </c>
      <c r="I77" s="456">
        <v>1.75</v>
      </c>
      <c r="J77" s="448">
        <v>2.3E-2</v>
      </c>
    </row>
    <row r="78" spans="1:10" ht="35.049999999999997" customHeight="1" x14ac:dyDescent="0.3">
      <c r="A78" s="452" t="s">
        <v>840</v>
      </c>
      <c r="B78" s="453" t="s">
        <v>480</v>
      </c>
      <c r="C78" s="454">
        <v>0</v>
      </c>
      <c r="D78" s="441">
        <v>0.96099999999999997</v>
      </c>
      <c r="E78" s="442">
        <v>0.24399999999999999</v>
      </c>
      <c r="F78" s="443">
        <v>3.5000000000000003E-2</v>
      </c>
      <c r="G78" s="455">
        <v>5759.38</v>
      </c>
      <c r="H78" s="455">
        <v>1.1000000000000001</v>
      </c>
      <c r="I78" s="456">
        <v>1.75</v>
      </c>
      <c r="J78" s="448">
        <v>2.3E-2</v>
      </c>
    </row>
    <row r="79" spans="1:10" ht="35.049999999999997" customHeight="1" x14ac:dyDescent="0.3">
      <c r="A79" s="452" t="s">
        <v>841</v>
      </c>
      <c r="B79" s="453" t="s">
        <v>480</v>
      </c>
      <c r="C79" s="454">
        <v>0</v>
      </c>
      <c r="D79" s="441">
        <v>0.96099999999999997</v>
      </c>
      <c r="E79" s="442">
        <v>0.24399999999999999</v>
      </c>
      <c r="F79" s="443">
        <v>3.5000000000000003E-2</v>
      </c>
      <c r="G79" s="455">
        <v>13698.37</v>
      </c>
      <c r="H79" s="455">
        <v>1.1000000000000001</v>
      </c>
      <c r="I79" s="456">
        <v>1.75</v>
      </c>
      <c r="J79" s="448">
        <v>2.3E-2</v>
      </c>
    </row>
    <row r="80" spans="1:10" ht="35.049999999999997" customHeight="1" x14ac:dyDescent="0.3">
      <c r="A80" s="452" t="s">
        <v>587</v>
      </c>
      <c r="B80" s="453" t="s">
        <v>480</v>
      </c>
      <c r="C80" s="454" t="s">
        <v>641</v>
      </c>
      <c r="D80" s="449">
        <v>3.4289999999999998</v>
      </c>
      <c r="E80" s="450">
        <v>0.57599999999999996</v>
      </c>
      <c r="F80" s="451">
        <v>0.35399999999999998</v>
      </c>
      <c r="G80" s="445">
        <v>0</v>
      </c>
      <c r="H80" s="445">
        <v>0</v>
      </c>
      <c r="I80" s="445">
        <v>0</v>
      </c>
      <c r="J80" s="446">
        <v>0</v>
      </c>
    </row>
    <row r="81" spans="1:10" ht="35.049999999999997" customHeight="1" x14ac:dyDescent="0.3">
      <c r="A81" s="452" t="s">
        <v>691</v>
      </c>
      <c r="B81" s="453" t="s">
        <v>480</v>
      </c>
      <c r="C81" s="454" t="s">
        <v>719</v>
      </c>
      <c r="D81" s="441">
        <v>-1.4419999999999999</v>
      </c>
      <c r="E81" s="442">
        <v>-0.38700000000000001</v>
      </c>
      <c r="F81" s="443">
        <v>-5.5E-2</v>
      </c>
      <c r="G81" s="445">
        <v>0</v>
      </c>
      <c r="H81" s="445">
        <v>0</v>
      </c>
      <c r="I81" s="445">
        <v>0</v>
      </c>
      <c r="J81" s="446">
        <v>0</v>
      </c>
    </row>
    <row r="82" spans="1:10" ht="35.049999999999997" customHeight="1" x14ac:dyDescent="0.3">
      <c r="A82" s="452" t="s">
        <v>692</v>
      </c>
      <c r="B82" s="453" t="s">
        <v>480</v>
      </c>
      <c r="C82" s="454">
        <v>8</v>
      </c>
      <c r="D82" s="441">
        <v>-1.573</v>
      </c>
      <c r="E82" s="442">
        <v>-0.42099999999999999</v>
      </c>
      <c r="F82" s="443">
        <v>-0.06</v>
      </c>
      <c r="G82" s="445">
        <v>0</v>
      </c>
      <c r="H82" s="445">
        <v>0</v>
      </c>
      <c r="I82" s="445">
        <v>0</v>
      </c>
      <c r="J82" s="446">
        <v>0</v>
      </c>
    </row>
    <row r="83" spans="1:10" ht="35.049999999999997" customHeight="1" x14ac:dyDescent="0.3">
      <c r="A83" s="452" t="s">
        <v>693</v>
      </c>
      <c r="B83" s="453" t="s">
        <v>480</v>
      </c>
      <c r="C83" s="454">
        <v>0</v>
      </c>
      <c r="D83" s="441">
        <v>-1.4419999999999999</v>
      </c>
      <c r="E83" s="442">
        <v>-0.38700000000000001</v>
      </c>
      <c r="F83" s="443">
        <v>-5.5E-2</v>
      </c>
      <c r="G83" s="445">
        <v>0</v>
      </c>
      <c r="H83" s="445">
        <v>0</v>
      </c>
      <c r="I83" s="445">
        <v>0</v>
      </c>
      <c r="J83" s="448">
        <v>3.6999999999999998E-2</v>
      </c>
    </row>
    <row r="84" spans="1:10" ht="35.049999999999997" customHeight="1" x14ac:dyDescent="0.3">
      <c r="A84" s="452" t="s">
        <v>694</v>
      </c>
      <c r="B84" s="453" t="s">
        <v>480</v>
      </c>
      <c r="C84" s="454">
        <v>0</v>
      </c>
      <c r="D84" s="441">
        <v>-1.573</v>
      </c>
      <c r="E84" s="442">
        <v>-0.42099999999999999</v>
      </c>
      <c r="F84" s="443">
        <v>-0.06</v>
      </c>
      <c r="G84" s="445">
        <v>0</v>
      </c>
      <c r="H84" s="445">
        <v>0</v>
      </c>
      <c r="I84" s="445">
        <v>0</v>
      </c>
      <c r="J84" s="448">
        <v>4.2999999999999997E-2</v>
      </c>
    </row>
    <row r="85" spans="1:10" ht="35.049999999999997" customHeight="1" x14ac:dyDescent="0.3">
      <c r="A85" s="452" t="s">
        <v>695</v>
      </c>
      <c r="B85" s="453" t="s">
        <v>480</v>
      </c>
      <c r="C85" s="454">
        <v>0</v>
      </c>
      <c r="D85" s="441">
        <v>-1.944</v>
      </c>
      <c r="E85" s="442">
        <v>-0.50600000000000001</v>
      </c>
      <c r="F85" s="443">
        <v>-7.1999999999999995E-2</v>
      </c>
      <c r="G85" s="455">
        <v>113.88</v>
      </c>
      <c r="H85" s="445">
        <v>0</v>
      </c>
      <c r="I85" s="445">
        <v>0</v>
      </c>
      <c r="J85" s="448">
        <v>0.06</v>
      </c>
    </row>
    <row r="86" spans="1:10" ht="35.049999999999997" customHeight="1" x14ac:dyDescent="0.3">
      <c r="A86" s="452" t="s">
        <v>842</v>
      </c>
      <c r="B86" s="453" t="s">
        <v>480</v>
      </c>
      <c r="C86" s="454" t="s">
        <v>639</v>
      </c>
      <c r="D86" s="441">
        <v>0.82899999999999996</v>
      </c>
      <c r="E86" s="442">
        <v>0.223</v>
      </c>
      <c r="F86" s="443">
        <v>3.2000000000000001E-2</v>
      </c>
      <c r="G86" s="455">
        <v>3.36</v>
      </c>
      <c r="H86" s="445">
        <v>0</v>
      </c>
      <c r="I86" s="445">
        <v>0</v>
      </c>
      <c r="J86" s="446">
        <v>0</v>
      </c>
    </row>
    <row r="87" spans="1:10" ht="35.049999999999997" customHeight="1" x14ac:dyDescent="0.3">
      <c r="A87" s="452" t="s">
        <v>843</v>
      </c>
      <c r="B87" s="453" t="s">
        <v>480</v>
      </c>
      <c r="C87" s="454">
        <v>2</v>
      </c>
      <c r="D87" s="441">
        <v>0.82899999999999996</v>
      </c>
      <c r="E87" s="442">
        <v>0.223</v>
      </c>
      <c r="F87" s="443">
        <v>3.2000000000000001E-2</v>
      </c>
      <c r="G87" s="445">
        <v>0</v>
      </c>
      <c r="H87" s="445">
        <v>0</v>
      </c>
      <c r="I87" s="445">
        <v>0</v>
      </c>
      <c r="J87" s="446">
        <v>0</v>
      </c>
    </row>
    <row r="88" spans="1:10" ht="35.049999999999997" customHeight="1" x14ac:dyDescent="0.3">
      <c r="A88" s="452" t="s">
        <v>844</v>
      </c>
      <c r="B88" s="453" t="s">
        <v>480</v>
      </c>
      <c r="C88" s="454" t="s">
        <v>640</v>
      </c>
      <c r="D88" s="441">
        <v>0.90300000000000002</v>
      </c>
      <c r="E88" s="442">
        <v>0.24199999999999999</v>
      </c>
      <c r="F88" s="443">
        <v>3.4000000000000002E-2</v>
      </c>
      <c r="G88" s="455">
        <v>1.5</v>
      </c>
      <c r="H88" s="445">
        <v>0</v>
      </c>
      <c r="I88" s="445">
        <v>0</v>
      </c>
      <c r="J88" s="446">
        <v>0</v>
      </c>
    </row>
    <row r="89" spans="1:10" ht="35.049999999999997" customHeight="1" x14ac:dyDescent="0.3">
      <c r="A89" s="452" t="s">
        <v>845</v>
      </c>
      <c r="B89" s="453" t="s">
        <v>480</v>
      </c>
      <c r="C89" s="454" t="s">
        <v>640</v>
      </c>
      <c r="D89" s="441">
        <v>0.90300000000000002</v>
      </c>
      <c r="E89" s="442">
        <v>0.24199999999999999</v>
      </c>
      <c r="F89" s="443">
        <v>3.4000000000000002E-2</v>
      </c>
      <c r="G89" s="455">
        <v>2.36</v>
      </c>
      <c r="H89" s="445">
        <v>0</v>
      </c>
      <c r="I89" s="445">
        <v>0</v>
      </c>
      <c r="J89" s="446">
        <v>0</v>
      </c>
    </row>
    <row r="90" spans="1:10" ht="35.049999999999997" customHeight="1" x14ac:dyDescent="0.3">
      <c r="A90" s="452" t="s">
        <v>846</v>
      </c>
      <c r="B90" s="453" t="s">
        <v>480</v>
      </c>
      <c r="C90" s="454" t="s">
        <v>640</v>
      </c>
      <c r="D90" s="441">
        <v>0.90300000000000002</v>
      </c>
      <c r="E90" s="442">
        <v>0.24199999999999999</v>
      </c>
      <c r="F90" s="443">
        <v>3.4000000000000002E-2</v>
      </c>
      <c r="G90" s="455">
        <v>5.82</v>
      </c>
      <c r="H90" s="445">
        <v>0</v>
      </c>
      <c r="I90" s="445">
        <v>0</v>
      </c>
      <c r="J90" s="446">
        <v>0</v>
      </c>
    </row>
    <row r="91" spans="1:10" ht="35.049999999999997" customHeight="1" x14ac:dyDescent="0.3">
      <c r="A91" s="452" t="s">
        <v>847</v>
      </c>
      <c r="B91" s="453" t="s">
        <v>480</v>
      </c>
      <c r="C91" s="454" t="s">
        <v>640</v>
      </c>
      <c r="D91" s="441">
        <v>0.90300000000000002</v>
      </c>
      <c r="E91" s="442">
        <v>0.24199999999999999</v>
      </c>
      <c r="F91" s="443">
        <v>3.4000000000000002E-2</v>
      </c>
      <c r="G91" s="455">
        <v>12.27</v>
      </c>
      <c r="H91" s="445">
        <v>0</v>
      </c>
      <c r="I91" s="445">
        <v>0</v>
      </c>
      <c r="J91" s="446">
        <v>0</v>
      </c>
    </row>
    <row r="92" spans="1:10" ht="35.049999999999997" customHeight="1" x14ac:dyDescent="0.3">
      <c r="A92" s="452" t="s">
        <v>848</v>
      </c>
      <c r="B92" s="453" t="s">
        <v>480</v>
      </c>
      <c r="C92" s="454" t="s">
        <v>640</v>
      </c>
      <c r="D92" s="441">
        <v>0.90300000000000002</v>
      </c>
      <c r="E92" s="442">
        <v>0.24199999999999999</v>
      </c>
      <c r="F92" s="443">
        <v>3.4000000000000002E-2</v>
      </c>
      <c r="G92" s="455">
        <v>35.4</v>
      </c>
      <c r="H92" s="445">
        <v>0</v>
      </c>
      <c r="I92" s="445">
        <v>0</v>
      </c>
      <c r="J92" s="446">
        <v>0</v>
      </c>
    </row>
    <row r="93" spans="1:10" ht="35.049999999999997" customHeight="1" x14ac:dyDescent="0.3">
      <c r="A93" s="452" t="s">
        <v>588</v>
      </c>
      <c r="B93" s="453" t="s">
        <v>480</v>
      </c>
      <c r="C93" s="454">
        <v>4</v>
      </c>
      <c r="D93" s="441">
        <v>0.90300000000000002</v>
      </c>
      <c r="E93" s="442">
        <v>0.24199999999999999</v>
      </c>
      <c r="F93" s="443">
        <v>3.4000000000000002E-2</v>
      </c>
      <c r="G93" s="445">
        <v>0</v>
      </c>
      <c r="H93" s="445">
        <v>0</v>
      </c>
      <c r="I93" s="445">
        <v>0</v>
      </c>
      <c r="J93" s="446">
        <v>0</v>
      </c>
    </row>
    <row r="94" spans="1:10" ht="35.049999999999997" customHeight="1" x14ac:dyDescent="0.3">
      <c r="A94" s="452" t="s">
        <v>849</v>
      </c>
      <c r="B94" s="453" t="s">
        <v>480</v>
      </c>
      <c r="C94" s="454">
        <v>0</v>
      </c>
      <c r="D94" s="441">
        <v>0.70399999999999996</v>
      </c>
      <c r="E94" s="442">
        <v>0.187</v>
      </c>
      <c r="F94" s="443">
        <v>2.7E-2</v>
      </c>
      <c r="G94" s="455">
        <v>3.06</v>
      </c>
      <c r="H94" s="455">
        <v>0.27</v>
      </c>
      <c r="I94" s="456">
        <v>0.56999999999999995</v>
      </c>
      <c r="J94" s="448">
        <v>0.02</v>
      </c>
    </row>
    <row r="95" spans="1:10" ht="35.049999999999997" customHeight="1" x14ac:dyDescent="0.3">
      <c r="A95" s="452" t="s">
        <v>850</v>
      </c>
      <c r="B95" s="453" t="s">
        <v>480</v>
      </c>
      <c r="C95" s="454">
        <v>0</v>
      </c>
      <c r="D95" s="441">
        <v>0.70399999999999996</v>
      </c>
      <c r="E95" s="442">
        <v>0.187</v>
      </c>
      <c r="F95" s="443">
        <v>2.7E-2</v>
      </c>
      <c r="G95" s="455">
        <v>53.1</v>
      </c>
      <c r="H95" s="455">
        <v>0.27</v>
      </c>
      <c r="I95" s="456">
        <v>0.56999999999999995</v>
      </c>
      <c r="J95" s="448">
        <v>0.02</v>
      </c>
    </row>
    <row r="96" spans="1:10" ht="35.049999999999997" customHeight="1" x14ac:dyDescent="0.3">
      <c r="A96" s="452" t="s">
        <v>851</v>
      </c>
      <c r="B96" s="453" t="s">
        <v>480</v>
      </c>
      <c r="C96" s="454">
        <v>0</v>
      </c>
      <c r="D96" s="441">
        <v>0.70399999999999996</v>
      </c>
      <c r="E96" s="442">
        <v>0.187</v>
      </c>
      <c r="F96" s="443">
        <v>2.7E-2</v>
      </c>
      <c r="G96" s="455">
        <v>105.01</v>
      </c>
      <c r="H96" s="455">
        <v>0.27</v>
      </c>
      <c r="I96" s="456">
        <v>0.56999999999999995</v>
      </c>
      <c r="J96" s="448">
        <v>0.02</v>
      </c>
    </row>
    <row r="97" spans="1:10" ht="35.049999999999997" customHeight="1" x14ac:dyDescent="0.3">
      <c r="A97" s="452" t="s">
        <v>852</v>
      </c>
      <c r="B97" s="453" t="s">
        <v>480</v>
      </c>
      <c r="C97" s="454">
        <v>0</v>
      </c>
      <c r="D97" s="441">
        <v>0.70399999999999996</v>
      </c>
      <c r="E97" s="442">
        <v>0.187</v>
      </c>
      <c r="F97" s="443">
        <v>2.7E-2</v>
      </c>
      <c r="G97" s="455">
        <v>165.14</v>
      </c>
      <c r="H97" s="455">
        <v>0.27</v>
      </c>
      <c r="I97" s="456">
        <v>0.56999999999999995</v>
      </c>
      <c r="J97" s="448">
        <v>0.02</v>
      </c>
    </row>
    <row r="98" spans="1:10" ht="35.049999999999997" customHeight="1" x14ac:dyDescent="0.3">
      <c r="A98" s="452" t="s">
        <v>853</v>
      </c>
      <c r="B98" s="453" t="s">
        <v>480</v>
      </c>
      <c r="C98" s="454">
        <v>0</v>
      </c>
      <c r="D98" s="441">
        <v>0.70399999999999996</v>
      </c>
      <c r="E98" s="442">
        <v>0.187</v>
      </c>
      <c r="F98" s="443">
        <v>2.7E-2</v>
      </c>
      <c r="G98" s="455">
        <v>324.7</v>
      </c>
      <c r="H98" s="455">
        <v>0.27</v>
      </c>
      <c r="I98" s="456">
        <v>0.56999999999999995</v>
      </c>
      <c r="J98" s="448">
        <v>0.02</v>
      </c>
    </row>
    <row r="99" spans="1:10" ht="35.049999999999997" customHeight="1" x14ac:dyDescent="0.3">
      <c r="A99" s="452" t="s">
        <v>854</v>
      </c>
      <c r="B99" s="453" t="s">
        <v>480</v>
      </c>
      <c r="C99" s="454">
        <v>0</v>
      </c>
      <c r="D99" s="441">
        <v>0.79800000000000004</v>
      </c>
      <c r="E99" s="442">
        <v>0.20899999999999999</v>
      </c>
      <c r="F99" s="443">
        <v>0.03</v>
      </c>
      <c r="G99" s="455">
        <v>4.9800000000000004</v>
      </c>
      <c r="H99" s="455">
        <v>0.51</v>
      </c>
      <c r="I99" s="456">
        <v>0.78</v>
      </c>
      <c r="J99" s="448">
        <v>2.1000000000000001E-2</v>
      </c>
    </row>
    <row r="100" spans="1:10" ht="35.049999999999997" customHeight="1" x14ac:dyDescent="0.3">
      <c r="A100" s="452" t="s">
        <v>855</v>
      </c>
      <c r="B100" s="453" t="s">
        <v>480</v>
      </c>
      <c r="C100" s="454">
        <v>0</v>
      </c>
      <c r="D100" s="441">
        <v>0.79800000000000004</v>
      </c>
      <c r="E100" s="442">
        <v>0.20899999999999999</v>
      </c>
      <c r="F100" s="443">
        <v>0.03</v>
      </c>
      <c r="G100" s="455">
        <v>87.81</v>
      </c>
      <c r="H100" s="455">
        <v>0.51</v>
      </c>
      <c r="I100" s="456">
        <v>0.78</v>
      </c>
      <c r="J100" s="448">
        <v>2.1000000000000001E-2</v>
      </c>
    </row>
    <row r="101" spans="1:10" ht="35.049999999999997" customHeight="1" x14ac:dyDescent="0.3">
      <c r="A101" s="452" t="s">
        <v>856</v>
      </c>
      <c r="B101" s="453" t="s">
        <v>480</v>
      </c>
      <c r="C101" s="454">
        <v>0</v>
      </c>
      <c r="D101" s="441">
        <v>0.79800000000000004</v>
      </c>
      <c r="E101" s="442">
        <v>0.20899999999999999</v>
      </c>
      <c r="F101" s="443">
        <v>0.03</v>
      </c>
      <c r="G101" s="455">
        <v>173.75</v>
      </c>
      <c r="H101" s="455">
        <v>0.51</v>
      </c>
      <c r="I101" s="456">
        <v>0.78</v>
      </c>
      <c r="J101" s="448">
        <v>2.1000000000000001E-2</v>
      </c>
    </row>
    <row r="102" spans="1:10" ht="35.049999999999997" customHeight="1" x14ac:dyDescent="0.3">
      <c r="A102" s="452" t="s">
        <v>857</v>
      </c>
      <c r="B102" s="453" t="s">
        <v>480</v>
      </c>
      <c r="C102" s="454">
        <v>0</v>
      </c>
      <c r="D102" s="441">
        <v>0.79800000000000004</v>
      </c>
      <c r="E102" s="442">
        <v>0.20899999999999999</v>
      </c>
      <c r="F102" s="443">
        <v>0.03</v>
      </c>
      <c r="G102" s="455">
        <v>273.27999999999997</v>
      </c>
      <c r="H102" s="455">
        <v>0.51</v>
      </c>
      <c r="I102" s="456">
        <v>0.78</v>
      </c>
      <c r="J102" s="448">
        <v>2.1000000000000001E-2</v>
      </c>
    </row>
    <row r="103" spans="1:10" ht="35.049999999999997" customHeight="1" x14ac:dyDescent="0.3">
      <c r="A103" s="452" t="s">
        <v>858</v>
      </c>
      <c r="B103" s="453" t="s">
        <v>480</v>
      </c>
      <c r="C103" s="454">
        <v>0</v>
      </c>
      <c r="D103" s="441">
        <v>0.79800000000000004</v>
      </c>
      <c r="E103" s="442">
        <v>0.20899999999999999</v>
      </c>
      <c r="F103" s="443">
        <v>0.03</v>
      </c>
      <c r="G103" s="455">
        <v>537.41999999999996</v>
      </c>
      <c r="H103" s="455">
        <v>0.51</v>
      </c>
      <c r="I103" s="456">
        <v>0.78</v>
      </c>
      <c r="J103" s="448">
        <v>2.1000000000000001E-2</v>
      </c>
    </row>
    <row r="104" spans="1:10" ht="35.049999999999997" customHeight="1" x14ac:dyDescent="0.3">
      <c r="A104" s="452" t="s">
        <v>859</v>
      </c>
      <c r="B104" s="453" t="s">
        <v>480</v>
      </c>
      <c r="C104" s="454">
        <v>0</v>
      </c>
      <c r="D104" s="441">
        <v>0.66500000000000004</v>
      </c>
      <c r="E104" s="442">
        <v>0.16900000000000001</v>
      </c>
      <c r="F104" s="443">
        <v>2.4E-2</v>
      </c>
      <c r="G104" s="455">
        <v>73.55</v>
      </c>
      <c r="H104" s="455">
        <v>0.76</v>
      </c>
      <c r="I104" s="456">
        <v>1.21</v>
      </c>
      <c r="J104" s="448">
        <v>1.6E-2</v>
      </c>
    </row>
    <row r="105" spans="1:10" ht="35.049999999999997" customHeight="1" x14ac:dyDescent="0.3">
      <c r="A105" s="452" t="s">
        <v>860</v>
      </c>
      <c r="B105" s="453" t="s">
        <v>480</v>
      </c>
      <c r="C105" s="454">
        <v>0</v>
      </c>
      <c r="D105" s="441">
        <v>0.66500000000000004</v>
      </c>
      <c r="E105" s="442">
        <v>0.16900000000000001</v>
      </c>
      <c r="F105" s="443">
        <v>2.4E-2</v>
      </c>
      <c r="G105" s="455">
        <v>686.05</v>
      </c>
      <c r="H105" s="455">
        <v>0.76</v>
      </c>
      <c r="I105" s="456">
        <v>1.21</v>
      </c>
      <c r="J105" s="448">
        <v>1.6E-2</v>
      </c>
    </row>
    <row r="106" spans="1:10" ht="35.049999999999997" customHeight="1" x14ac:dyDescent="0.3">
      <c r="A106" s="452" t="s">
        <v>861</v>
      </c>
      <c r="B106" s="453" t="s">
        <v>480</v>
      </c>
      <c r="C106" s="454">
        <v>0</v>
      </c>
      <c r="D106" s="441">
        <v>0.66500000000000004</v>
      </c>
      <c r="E106" s="442">
        <v>0.16900000000000001</v>
      </c>
      <c r="F106" s="443">
        <v>2.4E-2</v>
      </c>
      <c r="G106" s="455">
        <v>1918.72</v>
      </c>
      <c r="H106" s="455">
        <v>0.76</v>
      </c>
      <c r="I106" s="456">
        <v>1.21</v>
      </c>
      <c r="J106" s="448">
        <v>1.6E-2</v>
      </c>
    </row>
    <row r="107" spans="1:10" ht="35.049999999999997" customHeight="1" x14ac:dyDescent="0.3">
      <c r="A107" s="452" t="s">
        <v>862</v>
      </c>
      <c r="B107" s="453" t="s">
        <v>480</v>
      </c>
      <c r="C107" s="454">
        <v>0</v>
      </c>
      <c r="D107" s="441">
        <v>0.66500000000000004</v>
      </c>
      <c r="E107" s="442">
        <v>0.16900000000000001</v>
      </c>
      <c r="F107" s="443">
        <v>2.4E-2</v>
      </c>
      <c r="G107" s="455">
        <v>3987.27</v>
      </c>
      <c r="H107" s="455">
        <v>0.76</v>
      </c>
      <c r="I107" s="456">
        <v>1.21</v>
      </c>
      <c r="J107" s="448">
        <v>1.6E-2</v>
      </c>
    </row>
    <row r="108" spans="1:10" ht="35.049999999999997" customHeight="1" x14ac:dyDescent="0.3">
      <c r="A108" s="452" t="s">
        <v>863</v>
      </c>
      <c r="B108" s="453" t="s">
        <v>480</v>
      </c>
      <c r="C108" s="454">
        <v>0</v>
      </c>
      <c r="D108" s="441">
        <v>0.66500000000000004</v>
      </c>
      <c r="E108" s="442">
        <v>0.16900000000000001</v>
      </c>
      <c r="F108" s="443">
        <v>2.4E-2</v>
      </c>
      <c r="G108" s="455">
        <v>9483.4500000000007</v>
      </c>
      <c r="H108" s="455">
        <v>0.76</v>
      </c>
      <c r="I108" s="456">
        <v>1.21</v>
      </c>
      <c r="J108" s="448">
        <v>1.6E-2</v>
      </c>
    </row>
    <row r="109" spans="1:10" ht="35.049999999999997" customHeight="1" x14ac:dyDescent="0.3">
      <c r="A109" s="452" t="s">
        <v>589</v>
      </c>
      <c r="B109" s="453" t="s">
        <v>480</v>
      </c>
      <c r="C109" s="454" t="s">
        <v>641</v>
      </c>
      <c r="D109" s="449">
        <v>2.3740000000000001</v>
      </c>
      <c r="E109" s="450">
        <v>0.39900000000000002</v>
      </c>
      <c r="F109" s="451">
        <v>0.245</v>
      </c>
      <c r="G109" s="445">
        <v>0</v>
      </c>
      <c r="H109" s="445">
        <v>0</v>
      </c>
      <c r="I109" s="445">
        <v>0</v>
      </c>
      <c r="J109" s="446">
        <v>0</v>
      </c>
    </row>
    <row r="110" spans="1:10" ht="35.049999999999997" customHeight="1" x14ac:dyDescent="0.3">
      <c r="A110" s="452" t="s">
        <v>696</v>
      </c>
      <c r="B110" s="453" t="s">
        <v>480</v>
      </c>
      <c r="C110" s="454" t="s">
        <v>719</v>
      </c>
      <c r="D110" s="441">
        <v>-0.998</v>
      </c>
      <c r="E110" s="442">
        <v>-0.26800000000000002</v>
      </c>
      <c r="F110" s="443">
        <v>-3.7999999999999999E-2</v>
      </c>
      <c r="G110" s="445">
        <v>0</v>
      </c>
      <c r="H110" s="445">
        <v>0</v>
      </c>
      <c r="I110" s="445">
        <v>0</v>
      </c>
      <c r="J110" s="446">
        <v>0</v>
      </c>
    </row>
    <row r="111" spans="1:10" ht="35.049999999999997" customHeight="1" x14ac:dyDescent="0.3">
      <c r="A111" s="452" t="s">
        <v>697</v>
      </c>
      <c r="B111" s="453" t="s">
        <v>480</v>
      </c>
      <c r="C111" s="454">
        <v>8</v>
      </c>
      <c r="D111" s="441">
        <v>-1.089</v>
      </c>
      <c r="E111" s="442">
        <v>-0.29099999999999998</v>
      </c>
      <c r="F111" s="443">
        <v>-4.1000000000000002E-2</v>
      </c>
      <c r="G111" s="445">
        <v>0</v>
      </c>
      <c r="H111" s="445">
        <v>0</v>
      </c>
      <c r="I111" s="445">
        <v>0</v>
      </c>
      <c r="J111" s="446">
        <v>0</v>
      </c>
    </row>
    <row r="112" spans="1:10" ht="35.049999999999997" customHeight="1" x14ac:dyDescent="0.3">
      <c r="A112" s="452" t="s">
        <v>698</v>
      </c>
      <c r="B112" s="453" t="s">
        <v>480</v>
      </c>
      <c r="C112" s="454">
        <v>0</v>
      </c>
      <c r="D112" s="441">
        <v>-0.998</v>
      </c>
      <c r="E112" s="442">
        <v>-0.26800000000000002</v>
      </c>
      <c r="F112" s="443">
        <v>-3.7999999999999999E-2</v>
      </c>
      <c r="G112" s="445">
        <v>0</v>
      </c>
      <c r="H112" s="445">
        <v>0</v>
      </c>
      <c r="I112" s="445">
        <v>0</v>
      </c>
      <c r="J112" s="448">
        <v>2.5999999999999999E-2</v>
      </c>
    </row>
    <row r="113" spans="1:10" ht="35.049999999999997" customHeight="1" x14ac:dyDescent="0.3">
      <c r="A113" s="452" t="s">
        <v>699</v>
      </c>
      <c r="B113" s="453" t="s">
        <v>480</v>
      </c>
      <c r="C113" s="454">
        <v>0</v>
      </c>
      <c r="D113" s="441">
        <v>-1.089</v>
      </c>
      <c r="E113" s="442">
        <v>-0.29099999999999998</v>
      </c>
      <c r="F113" s="443">
        <v>-4.1000000000000002E-2</v>
      </c>
      <c r="G113" s="445">
        <v>0</v>
      </c>
      <c r="H113" s="445">
        <v>0</v>
      </c>
      <c r="I113" s="445">
        <v>0</v>
      </c>
      <c r="J113" s="448">
        <v>0.03</v>
      </c>
    </row>
    <row r="114" spans="1:10" ht="35.049999999999997" customHeight="1" x14ac:dyDescent="0.3">
      <c r="A114" s="452" t="s">
        <v>700</v>
      </c>
      <c r="B114" s="453" t="s">
        <v>480</v>
      </c>
      <c r="C114" s="454">
        <v>0</v>
      </c>
      <c r="D114" s="441">
        <v>-1.3460000000000001</v>
      </c>
      <c r="E114" s="442">
        <v>-0.35</v>
      </c>
      <c r="F114" s="443">
        <v>-0.05</v>
      </c>
      <c r="G114" s="455">
        <v>78.84</v>
      </c>
      <c r="H114" s="445">
        <v>0</v>
      </c>
      <c r="I114" s="445">
        <v>0</v>
      </c>
      <c r="J114" s="448">
        <v>4.2000000000000003E-2</v>
      </c>
    </row>
    <row r="115" spans="1:10" ht="35.049999999999997" customHeight="1" x14ac:dyDescent="0.3">
      <c r="A115" s="452" t="s">
        <v>864</v>
      </c>
      <c r="B115" s="453" t="s">
        <v>480</v>
      </c>
      <c r="C115" s="454" t="s">
        <v>639</v>
      </c>
      <c r="D115" s="441">
        <v>0.55800000000000005</v>
      </c>
      <c r="E115" s="442">
        <v>0.15</v>
      </c>
      <c r="F115" s="443">
        <v>2.1000000000000001E-2</v>
      </c>
      <c r="G115" s="455">
        <v>2.34</v>
      </c>
      <c r="H115" s="445">
        <v>0</v>
      </c>
      <c r="I115" s="445">
        <v>0</v>
      </c>
      <c r="J115" s="446">
        <v>0</v>
      </c>
    </row>
    <row r="116" spans="1:10" ht="35.049999999999997" customHeight="1" x14ac:dyDescent="0.3">
      <c r="A116" s="452" t="s">
        <v>865</v>
      </c>
      <c r="B116" s="453" t="s">
        <v>480</v>
      </c>
      <c r="C116" s="454">
        <v>2</v>
      </c>
      <c r="D116" s="441">
        <v>0.55800000000000005</v>
      </c>
      <c r="E116" s="442">
        <v>0.15</v>
      </c>
      <c r="F116" s="443">
        <v>2.1000000000000001E-2</v>
      </c>
      <c r="G116" s="445">
        <v>0</v>
      </c>
      <c r="H116" s="445">
        <v>0</v>
      </c>
      <c r="I116" s="445">
        <v>0</v>
      </c>
      <c r="J116" s="446">
        <v>0</v>
      </c>
    </row>
    <row r="117" spans="1:10" ht="35.049999999999997" customHeight="1" x14ac:dyDescent="0.3">
      <c r="A117" s="452" t="s">
        <v>866</v>
      </c>
      <c r="B117" s="453" t="s">
        <v>480</v>
      </c>
      <c r="C117" s="454" t="s">
        <v>640</v>
      </c>
      <c r="D117" s="441">
        <v>0.60799999999999998</v>
      </c>
      <c r="E117" s="442">
        <v>0.16300000000000001</v>
      </c>
      <c r="F117" s="443">
        <v>2.3E-2</v>
      </c>
      <c r="G117" s="455">
        <v>1.06</v>
      </c>
      <c r="H117" s="445">
        <v>0</v>
      </c>
      <c r="I117" s="445">
        <v>0</v>
      </c>
      <c r="J117" s="446">
        <v>0</v>
      </c>
    </row>
    <row r="118" spans="1:10" ht="35.049999999999997" customHeight="1" x14ac:dyDescent="0.3">
      <c r="A118" s="452" t="s">
        <v>867</v>
      </c>
      <c r="B118" s="453" t="s">
        <v>480</v>
      </c>
      <c r="C118" s="454" t="s">
        <v>640</v>
      </c>
      <c r="D118" s="441">
        <v>0.60799999999999998</v>
      </c>
      <c r="E118" s="442">
        <v>0.16300000000000001</v>
      </c>
      <c r="F118" s="443">
        <v>2.3E-2</v>
      </c>
      <c r="G118" s="455">
        <v>1.63</v>
      </c>
      <c r="H118" s="445">
        <v>0</v>
      </c>
      <c r="I118" s="445">
        <v>0</v>
      </c>
      <c r="J118" s="446">
        <v>0</v>
      </c>
    </row>
    <row r="119" spans="1:10" ht="35.049999999999997" customHeight="1" x14ac:dyDescent="0.3">
      <c r="A119" s="452" t="s">
        <v>868</v>
      </c>
      <c r="B119" s="453" t="s">
        <v>480</v>
      </c>
      <c r="C119" s="454" t="s">
        <v>640</v>
      </c>
      <c r="D119" s="441">
        <v>0.60799999999999998</v>
      </c>
      <c r="E119" s="442">
        <v>0.16300000000000001</v>
      </c>
      <c r="F119" s="443">
        <v>2.3E-2</v>
      </c>
      <c r="G119" s="455">
        <v>3.96</v>
      </c>
      <c r="H119" s="445">
        <v>0</v>
      </c>
      <c r="I119" s="445">
        <v>0</v>
      </c>
      <c r="J119" s="446">
        <v>0</v>
      </c>
    </row>
    <row r="120" spans="1:10" ht="35.049999999999997" customHeight="1" x14ac:dyDescent="0.3">
      <c r="A120" s="452" t="s">
        <v>869</v>
      </c>
      <c r="B120" s="453" t="s">
        <v>480</v>
      </c>
      <c r="C120" s="454" t="s">
        <v>640</v>
      </c>
      <c r="D120" s="441">
        <v>0.60799999999999998</v>
      </c>
      <c r="E120" s="442">
        <v>0.16300000000000001</v>
      </c>
      <c r="F120" s="443">
        <v>2.3E-2</v>
      </c>
      <c r="G120" s="455">
        <v>8.3000000000000007</v>
      </c>
      <c r="H120" s="445">
        <v>0</v>
      </c>
      <c r="I120" s="445">
        <v>0</v>
      </c>
      <c r="J120" s="446">
        <v>0</v>
      </c>
    </row>
    <row r="121" spans="1:10" ht="35.049999999999997" customHeight="1" x14ac:dyDescent="0.3">
      <c r="A121" s="452" t="s">
        <v>870</v>
      </c>
      <c r="B121" s="453" t="s">
        <v>480</v>
      </c>
      <c r="C121" s="454" t="s">
        <v>640</v>
      </c>
      <c r="D121" s="441">
        <v>0.60799999999999998</v>
      </c>
      <c r="E121" s="442">
        <v>0.16300000000000001</v>
      </c>
      <c r="F121" s="443">
        <v>2.3E-2</v>
      </c>
      <c r="G121" s="455">
        <v>23.87</v>
      </c>
      <c r="H121" s="445">
        <v>0</v>
      </c>
      <c r="I121" s="445">
        <v>0</v>
      </c>
      <c r="J121" s="446">
        <v>0</v>
      </c>
    </row>
    <row r="122" spans="1:10" ht="35.049999999999997" customHeight="1" x14ac:dyDescent="0.3">
      <c r="A122" s="452" t="s">
        <v>590</v>
      </c>
      <c r="B122" s="453" t="s">
        <v>480</v>
      </c>
      <c r="C122" s="454">
        <v>4</v>
      </c>
      <c r="D122" s="441">
        <v>0.60799999999999998</v>
      </c>
      <c r="E122" s="442">
        <v>0.16300000000000001</v>
      </c>
      <c r="F122" s="443">
        <v>2.3E-2</v>
      </c>
      <c r="G122" s="445">
        <v>0</v>
      </c>
      <c r="H122" s="445">
        <v>0</v>
      </c>
      <c r="I122" s="445">
        <v>0</v>
      </c>
      <c r="J122" s="446">
        <v>0</v>
      </c>
    </row>
    <row r="123" spans="1:10" ht="35.049999999999997" customHeight="1" x14ac:dyDescent="0.3">
      <c r="A123" s="452" t="s">
        <v>871</v>
      </c>
      <c r="B123" s="453" t="s">
        <v>480</v>
      </c>
      <c r="C123" s="454">
        <v>0</v>
      </c>
      <c r="D123" s="441">
        <v>0.47399999999999998</v>
      </c>
      <c r="E123" s="442">
        <v>0.126</v>
      </c>
      <c r="F123" s="443">
        <v>1.7999999999999999E-2</v>
      </c>
      <c r="G123" s="455">
        <v>2.11</v>
      </c>
      <c r="H123" s="455">
        <v>0.18</v>
      </c>
      <c r="I123" s="456">
        <v>0.38</v>
      </c>
      <c r="J123" s="448">
        <v>1.4E-2</v>
      </c>
    </row>
    <row r="124" spans="1:10" ht="35.049999999999997" customHeight="1" x14ac:dyDescent="0.3">
      <c r="A124" s="452" t="s">
        <v>872</v>
      </c>
      <c r="B124" s="453" t="s">
        <v>480</v>
      </c>
      <c r="C124" s="454">
        <v>0</v>
      </c>
      <c r="D124" s="441">
        <v>0.47399999999999998</v>
      </c>
      <c r="E124" s="442">
        <v>0.126</v>
      </c>
      <c r="F124" s="443">
        <v>1.7999999999999999E-2</v>
      </c>
      <c r="G124" s="455">
        <v>35.78</v>
      </c>
      <c r="H124" s="455">
        <v>0.18</v>
      </c>
      <c r="I124" s="456">
        <v>0.38</v>
      </c>
      <c r="J124" s="448">
        <v>1.4E-2</v>
      </c>
    </row>
    <row r="125" spans="1:10" ht="35.049999999999997" customHeight="1" x14ac:dyDescent="0.3">
      <c r="A125" s="452" t="s">
        <v>873</v>
      </c>
      <c r="B125" s="453" t="s">
        <v>480</v>
      </c>
      <c r="C125" s="454">
        <v>0</v>
      </c>
      <c r="D125" s="441">
        <v>0.47399999999999998</v>
      </c>
      <c r="E125" s="442">
        <v>0.126</v>
      </c>
      <c r="F125" s="443">
        <v>1.7999999999999999E-2</v>
      </c>
      <c r="G125" s="455">
        <v>70.72</v>
      </c>
      <c r="H125" s="455">
        <v>0.18</v>
      </c>
      <c r="I125" s="456">
        <v>0.38</v>
      </c>
      <c r="J125" s="448">
        <v>1.4E-2</v>
      </c>
    </row>
    <row r="126" spans="1:10" ht="35.049999999999997" customHeight="1" x14ac:dyDescent="0.3">
      <c r="A126" s="452" t="s">
        <v>874</v>
      </c>
      <c r="B126" s="453" t="s">
        <v>480</v>
      </c>
      <c r="C126" s="454">
        <v>0</v>
      </c>
      <c r="D126" s="441">
        <v>0.47399999999999998</v>
      </c>
      <c r="E126" s="442">
        <v>0.126</v>
      </c>
      <c r="F126" s="443">
        <v>1.7999999999999999E-2</v>
      </c>
      <c r="G126" s="455">
        <v>111.19</v>
      </c>
      <c r="H126" s="455">
        <v>0.18</v>
      </c>
      <c r="I126" s="456">
        <v>0.38</v>
      </c>
      <c r="J126" s="448">
        <v>1.4E-2</v>
      </c>
    </row>
    <row r="127" spans="1:10" ht="35.049999999999997" customHeight="1" x14ac:dyDescent="0.3">
      <c r="A127" s="452" t="s">
        <v>875</v>
      </c>
      <c r="B127" s="453" t="s">
        <v>480</v>
      </c>
      <c r="C127" s="454">
        <v>0</v>
      </c>
      <c r="D127" s="441">
        <v>0.47399999999999998</v>
      </c>
      <c r="E127" s="442">
        <v>0.126</v>
      </c>
      <c r="F127" s="443">
        <v>1.7999999999999999E-2</v>
      </c>
      <c r="G127" s="455">
        <v>218.58</v>
      </c>
      <c r="H127" s="455">
        <v>0.18</v>
      </c>
      <c r="I127" s="456">
        <v>0.38</v>
      </c>
      <c r="J127" s="448">
        <v>1.4E-2</v>
      </c>
    </row>
    <row r="128" spans="1:10" ht="35.049999999999997" customHeight="1" x14ac:dyDescent="0.3">
      <c r="A128" s="452" t="s">
        <v>876</v>
      </c>
      <c r="B128" s="453" t="s">
        <v>480</v>
      </c>
      <c r="C128" s="454">
        <v>0</v>
      </c>
      <c r="D128" s="441">
        <v>0.53700000000000003</v>
      </c>
      <c r="E128" s="442">
        <v>0.14000000000000001</v>
      </c>
      <c r="F128" s="443">
        <v>0.02</v>
      </c>
      <c r="G128" s="455">
        <v>3.4</v>
      </c>
      <c r="H128" s="455">
        <v>0.34</v>
      </c>
      <c r="I128" s="456">
        <v>0.53</v>
      </c>
      <c r="J128" s="448">
        <v>1.4E-2</v>
      </c>
    </row>
    <row r="129" spans="1:10" ht="35.049999999999997" customHeight="1" x14ac:dyDescent="0.3">
      <c r="A129" s="452" t="s">
        <v>877</v>
      </c>
      <c r="B129" s="453" t="s">
        <v>480</v>
      </c>
      <c r="C129" s="454">
        <v>0</v>
      </c>
      <c r="D129" s="441">
        <v>0.53700000000000003</v>
      </c>
      <c r="E129" s="442">
        <v>0.14000000000000001</v>
      </c>
      <c r="F129" s="443">
        <v>0.02</v>
      </c>
      <c r="G129" s="455">
        <v>59.14</v>
      </c>
      <c r="H129" s="455">
        <v>0.34</v>
      </c>
      <c r="I129" s="456">
        <v>0.53</v>
      </c>
      <c r="J129" s="448">
        <v>1.4E-2</v>
      </c>
    </row>
    <row r="130" spans="1:10" ht="35.049999999999997" customHeight="1" x14ac:dyDescent="0.3">
      <c r="A130" s="452" t="s">
        <v>878</v>
      </c>
      <c r="B130" s="453" t="s">
        <v>480</v>
      </c>
      <c r="C130" s="454">
        <v>0</v>
      </c>
      <c r="D130" s="441">
        <v>0.53700000000000003</v>
      </c>
      <c r="E130" s="442">
        <v>0.14000000000000001</v>
      </c>
      <c r="F130" s="443">
        <v>0.02</v>
      </c>
      <c r="G130" s="455">
        <v>116.98</v>
      </c>
      <c r="H130" s="455">
        <v>0.34</v>
      </c>
      <c r="I130" s="456">
        <v>0.53</v>
      </c>
      <c r="J130" s="448">
        <v>1.4E-2</v>
      </c>
    </row>
    <row r="131" spans="1:10" ht="35.049999999999997" customHeight="1" x14ac:dyDescent="0.3">
      <c r="A131" s="452" t="s">
        <v>879</v>
      </c>
      <c r="B131" s="453" t="s">
        <v>480</v>
      </c>
      <c r="C131" s="454">
        <v>0</v>
      </c>
      <c r="D131" s="441">
        <v>0.53700000000000003</v>
      </c>
      <c r="E131" s="442">
        <v>0.14000000000000001</v>
      </c>
      <c r="F131" s="443">
        <v>0.02</v>
      </c>
      <c r="G131" s="455">
        <v>183.97</v>
      </c>
      <c r="H131" s="455">
        <v>0.34</v>
      </c>
      <c r="I131" s="456">
        <v>0.53</v>
      </c>
      <c r="J131" s="448">
        <v>1.4E-2</v>
      </c>
    </row>
    <row r="132" spans="1:10" ht="35.049999999999997" customHeight="1" x14ac:dyDescent="0.3">
      <c r="A132" s="452" t="s">
        <v>880</v>
      </c>
      <c r="B132" s="453" t="s">
        <v>480</v>
      </c>
      <c r="C132" s="454">
        <v>0</v>
      </c>
      <c r="D132" s="441">
        <v>0.53700000000000003</v>
      </c>
      <c r="E132" s="442">
        <v>0.14000000000000001</v>
      </c>
      <c r="F132" s="443">
        <v>0.02</v>
      </c>
      <c r="G132" s="455">
        <v>361.75</v>
      </c>
      <c r="H132" s="455">
        <v>0.34</v>
      </c>
      <c r="I132" s="456">
        <v>0.53</v>
      </c>
      <c r="J132" s="448">
        <v>1.4E-2</v>
      </c>
    </row>
    <row r="133" spans="1:10" ht="35.049999999999997" customHeight="1" x14ac:dyDescent="0.3">
      <c r="A133" s="452" t="s">
        <v>881</v>
      </c>
      <c r="B133" s="453" t="s">
        <v>480</v>
      </c>
      <c r="C133" s="454">
        <v>0</v>
      </c>
      <c r="D133" s="441">
        <v>0.44800000000000001</v>
      </c>
      <c r="E133" s="442">
        <v>0.114</v>
      </c>
      <c r="F133" s="443">
        <v>1.6E-2</v>
      </c>
      <c r="G133" s="455">
        <v>49.55</v>
      </c>
      <c r="H133" s="455">
        <v>0.51</v>
      </c>
      <c r="I133" s="456">
        <v>0.81</v>
      </c>
      <c r="J133" s="448">
        <v>1.0999999999999999E-2</v>
      </c>
    </row>
    <row r="134" spans="1:10" ht="35.049999999999997" customHeight="1" x14ac:dyDescent="0.3">
      <c r="A134" s="452" t="s">
        <v>882</v>
      </c>
      <c r="B134" s="453" t="s">
        <v>480</v>
      </c>
      <c r="C134" s="454">
        <v>0</v>
      </c>
      <c r="D134" s="441">
        <v>0.44800000000000001</v>
      </c>
      <c r="E134" s="442">
        <v>0.114</v>
      </c>
      <c r="F134" s="443">
        <v>1.6E-2</v>
      </c>
      <c r="G134" s="455">
        <v>461.79</v>
      </c>
      <c r="H134" s="455">
        <v>0.51</v>
      </c>
      <c r="I134" s="456">
        <v>0.81</v>
      </c>
      <c r="J134" s="448">
        <v>1.0999999999999999E-2</v>
      </c>
    </row>
    <row r="135" spans="1:10" ht="35.049999999999997" customHeight="1" x14ac:dyDescent="0.3">
      <c r="A135" s="452" t="s">
        <v>883</v>
      </c>
      <c r="B135" s="453" t="s">
        <v>480</v>
      </c>
      <c r="C135" s="454">
        <v>0</v>
      </c>
      <c r="D135" s="441">
        <v>0.44800000000000001</v>
      </c>
      <c r="E135" s="442">
        <v>0.114</v>
      </c>
      <c r="F135" s="443">
        <v>1.6E-2</v>
      </c>
      <c r="G135" s="455">
        <v>1291.42</v>
      </c>
      <c r="H135" s="455">
        <v>0.51</v>
      </c>
      <c r="I135" s="456">
        <v>0.81</v>
      </c>
      <c r="J135" s="448">
        <v>1.0999999999999999E-2</v>
      </c>
    </row>
    <row r="136" spans="1:10" ht="35.049999999999997" customHeight="1" x14ac:dyDescent="0.3">
      <c r="A136" s="452" t="s">
        <v>884</v>
      </c>
      <c r="B136" s="453" t="s">
        <v>480</v>
      </c>
      <c r="C136" s="454">
        <v>0</v>
      </c>
      <c r="D136" s="441">
        <v>0.44800000000000001</v>
      </c>
      <c r="E136" s="442">
        <v>0.114</v>
      </c>
      <c r="F136" s="443">
        <v>1.6E-2</v>
      </c>
      <c r="G136" s="455">
        <v>2683.64</v>
      </c>
      <c r="H136" s="455">
        <v>0.51</v>
      </c>
      <c r="I136" s="456">
        <v>0.81</v>
      </c>
      <c r="J136" s="448">
        <v>1.0999999999999999E-2</v>
      </c>
    </row>
    <row r="137" spans="1:10" ht="35.049999999999997" customHeight="1" x14ac:dyDescent="0.3">
      <c r="A137" s="452" t="s">
        <v>885</v>
      </c>
      <c r="B137" s="453" t="s">
        <v>480</v>
      </c>
      <c r="C137" s="454">
        <v>0</v>
      </c>
      <c r="D137" s="441">
        <v>0.44800000000000001</v>
      </c>
      <c r="E137" s="442">
        <v>0.114</v>
      </c>
      <c r="F137" s="443">
        <v>1.6E-2</v>
      </c>
      <c r="G137" s="455">
        <v>6382.79</v>
      </c>
      <c r="H137" s="455">
        <v>0.51</v>
      </c>
      <c r="I137" s="456">
        <v>0.81</v>
      </c>
      <c r="J137" s="448">
        <v>1.0999999999999999E-2</v>
      </c>
    </row>
    <row r="138" spans="1:10" ht="35.049999999999997" customHeight="1" x14ac:dyDescent="0.3">
      <c r="A138" s="452" t="s">
        <v>591</v>
      </c>
      <c r="B138" s="453" t="s">
        <v>480</v>
      </c>
      <c r="C138" s="454" t="s">
        <v>641</v>
      </c>
      <c r="D138" s="449">
        <v>1.5980000000000001</v>
      </c>
      <c r="E138" s="450">
        <v>0.26800000000000002</v>
      </c>
      <c r="F138" s="451">
        <v>0.16500000000000001</v>
      </c>
      <c r="G138" s="445">
        <v>0</v>
      </c>
      <c r="H138" s="445">
        <v>0</v>
      </c>
      <c r="I138" s="445">
        <v>0</v>
      </c>
      <c r="J138" s="446">
        <v>0</v>
      </c>
    </row>
    <row r="139" spans="1:10" ht="35.049999999999997" customHeight="1" x14ac:dyDescent="0.3">
      <c r="A139" s="452" t="s">
        <v>701</v>
      </c>
      <c r="B139" s="453" t="s">
        <v>480</v>
      </c>
      <c r="C139" s="454" t="s">
        <v>719</v>
      </c>
      <c r="D139" s="441">
        <v>-0.67200000000000004</v>
      </c>
      <c r="E139" s="442">
        <v>-0.18</v>
      </c>
      <c r="F139" s="443">
        <v>-2.5999999999999999E-2</v>
      </c>
      <c r="G139" s="445">
        <v>0</v>
      </c>
      <c r="H139" s="445">
        <v>0</v>
      </c>
      <c r="I139" s="445">
        <v>0</v>
      </c>
      <c r="J139" s="446">
        <v>0</v>
      </c>
    </row>
    <row r="140" spans="1:10" ht="35.049999999999997" customHeight="1" x14ac:dyDescent="0.3">
      <c r="A140" s="452" t="s">
        <v>702</v>
      </c>
      <c r="B140" s="453" t="s">
        <v>480</v>
      </c>
      <c r="C140" s="454">
        <v>8</v>
      </c>
      <c r="D140" s="441">
        <v>-0.73299999999999998</v>
      </c>
      <c r="E140" s="442">
        <v>-0.19600000000000001</v>
      </c>
      <c r="F140" s="443">
        <v>-2.8000000000000001E-2</v>
      </c>
      <c r="G140" s="445">
        <v>0</v>
      </c>
      <c r="H140" s="445">
        <v>0</v>
      </c>
      <c r="I140" s="445">
        <v>0</v>
      </c>
      <c r="J140" s="446">
        <v>0</v>
      </c>
    </row>
    <row r="141" spans="1:10" ht="35.049999999999997" customHeight="1" x14ac:dyDescent="0.3">
      <c r="A141" s="452" t="s">
        <v>703</v>
      </c>
      <c r="B141" s="453" t="s">
        <v>480</v>
      </c>
      <c r="C141" s="454">
        <v>0</v>
      </c>
      <c r="D141" s="441">
        <v>-0.67200000000000004</v>
      </c>
      <c r="E141" s="442">
        <v>-0.18</v>
      </c>
      <c r="F141" s="443">
        <v>-2.5999999999999999E-2</v>
      </c>
      <c r="G141" s="445">
        <v>0</v>
      </c>
      <c r="H141" s="445">
        <v>0</v>
      </c>
      <c r="I141" s="445">
        <v>0</v>
      </c>
      <c r="J141" s="448">
        <v>1.7000000000000001E-2</v>
      </c>
    </row>
    <row r="142" spans="1:10" ht="35.049999999999997" customHeight="1" x14ac:dyDescent="0.3">
      <c r="A142" s="452" t="s">
        <v>704</v>
      </c>
      <c r="B142" s="453" t="s">
        <v>480</v>
      </c>
      <c r="C142" s="454">
        <v>0</v>
      </c>
      <c r="D142" s="441">
        <v>-0.73299999999999998</v>
      </c>
      <c r="E142" s="442">
        <v>-0.19600000000000001</v>
      </c>
      <c r="F142" s="443">
        <v>-2.8000000000000001E-2</v>
      </c>
      <c r="G142" s="445">
        <v>0</v>
      </c>
      <c r="H142" s="445">
        <v>0</v>
      </c>
      <c r="I142" s="445">
        <v>0</v>
      </c>
      <c r="J142" s="448">
        <v>0.02</v>
      </c>
    </row>
    <row r="143" spans="1:10" ht="35.049999999999997" customHeight="1" x14ac:dyDescent="0.3">
      <c r="A143" s="452" t="s">
        <v>705</v>
      </c>
      <c r="B143" s="453" t="s">
        <v>480</v>
      </c>
      <c r="C143" s="454">
        <v>0</v>
      </c>
      <c r="D143" s="441">
        <v>-0.90600000000000003</v>
      </c>
      <c r="E143" s="442">
        <v>-0.23599999999999999</v>
      </c>
      <c r="F143" s="443">
        <v>-3.3000000000000002E-2</v>
      </c>
      <c r="G143" s="455">
        <v>53.06</v>
      </c>
      <c r="H143" s="445">
        <v>0</v>
      </c>
      <c r="I143" s="445">
        <v>0</v>
      </c>
      <c r="J143" s="448">
        <v>2.8000000000000001E-2</v>
      </c>
    </row>
    <row r="144" spans="1:10" ht="35.049999999999997" customHeight="1" x14ac:dyDescent="0.3">
      <c r="A144" s="452" t="s">
        <v>886</v>
      </c>
      <c r="B144" s="453" t="s">
        <v>480</v>
      </c>
      <c r="C144" s="454" t="s">
        <v>639</v>
      </c>
      <c r="D144" s="441">
        <v>0.28899999999999998</v>
      </c>
      <c r="E144" s="442">
        <v>7.8E-2</v>
      </c>
      <c r="F144" s="443">
        <v>1.0999999999999999E-2</v>
      </c>
      <c r="G144" s="455">
        <v>1.32</v>
      </c>
      <c r="H144" s="445">
        <v>0</v>
      </c>
      <c r="I144" s="445">
        <v>0</v>
      </c>
      <c r="J144" s="446">
        <v>0</v>
      </c>
    </row>
    <row r="145" spans="1:10" ht="35.049999999999997" customHeight="1" x14ac:dyDescent="0.3">
      <c r="A145" s="452" t="s">
        <v>887</v>
      </c>
      <c r="B145" s="453" t="s">
        <v>480</v>
      </c>
      <c r="C145" s="454">
        <v>2</v>
      </c>
      <c r="D145" s="441">
        <v>0.28899999999999998</v>
      </c>
      <c r="E145" s="442">
        <v>7.8E-2</v>
      </c>
      <c r="F145" s="443">
        <v>1.0999999999999999E-2</v>
      </c>
      <c r="G145" s="445">
        <v>0</v>
      </c>
      <c r="H145" s="445">
        <v>0</v>
      </c>
      <c r="I145" s="445">
        <v>0</v>
      </c>
      <c r="J145" s="446">
        <v>0</v>
      </c>
    </row>
    <row r="146" spans="1:10" ht="35.049999999999997" customHeight="1" x14ac:dyDescent="0.3">
      <c r="A146" s="452" t="s">
        <v>888</v>
      </c>
      <c r="B146" s="453" t="s">
        <v>480</v>
      </c>
      <c r="C146" s="454" t="s">
        <v>640</v>
      </c>
      <c r="D146" s="441">
        <v>0.315</v>
      </c>
      <c r="E146" s="442">
        <v>8.4000000000000005E-2</v>
      </c>
      <c r="F146" s="443">
        <v>1.2E-2</v>
      </c>
      <c r="G146" s="455">
        <v>0.61</v>
      </c>
      <c r="H146" s="445">
        <v>0</v>
      </c>
      <c r="I146" s="445">
        <v>0</v>
      </c>
      <c r="J146" s="446">
        <v>0</v>
      </c>
    </row>
    <row r="147" spans="1:10" ht="35.049999999999997" customHeight="1" x14ac:dyDescent="0.3">
      <c r="A147" s="452" t="s">
        <v>889</v>
      </c>
      <c r="B147" s="453" t="s">
        <v>480</v>
      </c>
      <c r="C147" s="454" t="s">
        <v>640</v>
      </c>
      <c r="D147" s="441">
        <v>0.315</v>
      </c>
      <c r="E147" s="442">
        <v>8.4000000000000005E-2</v>
      </c>
      <c r="F147" s="443">
        <v>1.2E-2</v>
      </c>
      <c r="G147" s="455">
        <v>0.91</v>
      </c>
      <c r="H147" s="445">
        <v>0</v>
      </c>
      <c r="I147" s="445">
        <v>0</v>
      </c>
      <c r="J147" s="446">
        <v>0</v>
      </c>
    </row>
    <row r="148" spans="1:10" ht="35.049999999999997" customHeight="1" x14ac:dyDescent="0.3">
      <c r="A148" s="452" t="s">
        <v>890</v>
      </c>
      <c r="B148" s="453" t="s">
        <v>480</v>
      </c>
      <c r="C148" s="454" t="s">
        <v>640</v>
      </c>
      <c r="D148" s="441">
        <v>0.315</v>
      </c>
      <c r="E148" s="442">
        <v>8.4000000000000005E-2</v>
      </c>
      <c r="F148" s="443">
        <v>1.2E-2</v>
      </c>
      <c r="G148" s="455">
        <v>2.11</v>
      </c>
      <c r="H148" s="445">
        <v>0</v>
      </c>
      <c r="I148" s="445">
        <v>0</v>
      </c>
      <c r="J148" s="446">
        <v>0</v>
      </c>
    </row>
    <row r="149" spans="1:10" ht="35.049999999999997" customHeight="1" x14ac:dyDescent="0.3">
      <c r="A149" s="452" t="s">
        <v>891</v>
      </c>
      <c r="B149" s="453" t="s">
        <v>480</v>
      </c>
      <c r="C149" s="454" t="s">
        <v>640</v>
      </c>
      <c r="D149" s="441">
        <v>0.315</v>
      </c>
      <c r="E149" s="442">
        <v>8.4000000000000005E-2</v>
      </c>
      <c r="F149" s="443">
        <v>1.2E-2</v>
      </c>
      <c r="G149" s="455">
        <v>4.3600000000000003</v>
      </c>
      <c r="H149" s="445">
        <v>0</v>
      </c>
      <c r="I149" s="445">
        <v>0</v>
      </c>
      <c r="J149" s="446">
        <v>0</v>
      </c>
    </row>
    <row r="150" spans="1:10" ht="35.049999999999997" customHeight="1" x14ac:dyDescent="0.3">
      <c r="A150" s="452" t="s">
        <v>892</v>
      </c>
      <c r="B150" s="453" t="s">
        <v>480</v>
      </c>
      <c r="C150" s="454" t="s">
        <v>640</v>
      </c>
      <c r="D150" s="441">
        <v>0.315</v>
      </c>
      <c r="E150" s="442">
        <v>8.4000000000000005E-2</v>
      </c>
      <c r="F150" s="443">
        <v>1.2E-2</v>
      </c>
      <c r="G150" s="455">
        <v>12.42</v>
      </c>
      <c r="H150" s="445">
        <v>0</v>
      </c>
      <c r="I150" s="445">
        <v>0</v>
      </c>
      <c r="J150" s="446">
        <v>0</v>
      </c>
    </row>
    <row r="151" spans="1:10" ht="35.049999999999997" customHeight="1" x14ac:dyDescent="0.3">
      <c r="A151" s="452" t="s">
        <v>592</v>
      </c>
      <c r="B151" s="453" t="s">
        <v>480</v>
      </c>
      <c r="C151" s="454">
        <v>4</v>
      </c>
      <c r="D151" s="441">
        <v>0.315</v>
      </c>
      <c r="E151" s="442">
        <v>8.4000000000000005E-2</v>
      </c>
      <c r="F151" s="443">
        <v>1.2E-2</v>
      </c>
      <c r="G151" s="445">
        <v>0</v>
      </c>
      <c r="H151" s="445">
        <v>0</v>
      </c>
      <c r="I151" s="445">
        <v>0</v>
      </c>
      <c r="J151" s="446">
        <v>0</v>
      </c>
    </row>
    <row r="152" spans="1:10" ht="35.049999999999997" customHeight="1" x14ac:dyDescent="0.3">
      <c r="A152" s="452" t="s">
        <v>893</v>
      </c>
      <c r="B152" s="453" t="s">
        <v>480</v>
      </c>
      <c r="C152" s="454">
        <v>0</v>
      </c>
      <c r="D152" s="441">
        <v>0.245</v>
      </c>
      <c r="E152" s="442">
        <v>6.5000000000000002E-2</v>
      </c>
      <c r="F152" s="443">
        <v>8.9999999999999993E-3</v>
      </c>
      <c r="G152" s="455">
        <v>1.1499999999999999</v>
      </c>
      <c r="H152" s="455">
        <v>0.09</v>
      </c>
      <c r="I152" s="456">
        <v>0.2</v>
      </c>
      <c r="J152" s="448">
        <v>7.0000000000000001E-3</v>
      </c>
    </row>
    <row r="153" spans="1:10" ht="35.049999999999997" customHeight="1" x14ac:dyDescent="0.3">
      <c r="A153" s="452" t="s">
        <v>894</v>
      </c>
      <c r="B153" s="453" t="s">
        <v>480</v>
      </c>
      <c r="C153" s="454">
        <v>0</v>
      </c>
      <c r="D153" s="441">
        <v>0.245</v>
      </c>
      <c r="E153" s="442">
        <v>6.5000000000000002E-2</v>
      </c>
      <c r="F153" s="443">
        <v>8.9999999999999993E-3</v>
      </c>
      <c r="G153" s="455">
        <v>18.579999999999998</v>
      </c>
      <c r="H153" s="455">
        <v>0.09</v>
      </c>
      <c r="I153" s="456">
        <v>0.2</v>
      </c>
      <c r="J153" s="448">
        <v>7.0000000000000001E-3</v>
      </c>
    </row>
    <row r="154" spans="1:10" ht="35.049999999999997" customHeight="1" x14ac:dyDescent="0.3">
      <c r="A154" s="452" t="s">
        <v>895</v>
      </c>
      <c r="B154" s="453" t="s">
        <v>480</v>
      </c>
      <c r="C154" s="454">
        <v>0</v>
      </c>
      <c r="D154" s="441">
        <v>0.245</v>
      </c>
      <c r="E154" s="442">
        <v>6.5000000000000002E-2</v>
      </c>
      <c r="F154" s="443">
        <v>8.9999999999999993E-3</v>
      </c>
      <c r="G154" s="455">
        <v>36.67</v>
      </c>
      <c r="H154" s="455">
        <v>0.09</v>
      </c>
      <c r="I154" s="456">
        <v>0.2</v>
      </c>
      <c r="J154" s="448">
        <v>7.0000000000000001E-3</v>
      </c>
    </row>
    <row r="155" spans="1:10" ht="35.049999999999997" customHeight="1" x14ac:dyDescent="0.3">
      <c r="A155" s="452" t="s">
        <v>896</v>
      </c>
      <c r="B155" s="453" t="s">
        <v>480</v>
      </c>
      <c r="C155" s="454">
        <v>0</v>
      </c>
      <c r="D155" s="441">
        <v>0.245</v>
      </c>
      <c r="E155" s="442">
        <v>6.5000000000000002E-2</v>
      </c>
      <c r="F155" s="443">
        <v>8.9999999999999993E-3</v>
      </c>
      <c r="G155" s="455">
        <v>57.61</v>
      </c>
      <c r="H155" s="455">
        <v>0.09</v>
      </c>
      <c r="I155" s="456">
        <v>0.2</v>
      </c>
      <c r="J155" s="448">
        <v>7.0000000000000001E-3</v>
      </c>
    </row>
    <row r="156" spans="1:10" ht="35.049999999999997" customHeight="1" x14ac:dyDescent="0.3">
      <c r="A156" s="452" t="s">
        <v>897</v>
      </c>
      <c r="B156" s="453" t="s">
        <v>480</v>
      </c>
      <c r="C156" s="454">
        <v>0</v>
      </c>
      <c r="D156" s="441">
        <v>0.245</v>
      </c>
      <c r="E156" s="442">
        <v>6.5000000000000002E-2</v>
      </c>
      <c r="F156" s="443">
        <v>8.9999999999999993E-3</v>
      </c>
      <c r="G156" s="455">
        <v>113.2</v>
      </c>
      <c r="H156" s="455">
        <v>0.09</v>
      </c>
      <c r="I156" s="456">
        <v>0.2</v>
      </c>
      <c r="J156" s="448">
        <v>7.0000000000000001E-3</v>
      </c>
    </row>
    <row r="157" spans="1:10" ht="35.049999999999997" customHeight="1" x14ac:dyDescent="0.3">
      <c r="A157" s="452" t="s">
        <v>898</v>
      </c>
      <c r="B157" s="453" t="s">
        <v>480</v>
      </c>
      <c r="C157" s="454">
        <v>0</v>
      </c>
      <c r="D157" s="441">
        <v>0.27800000000000002</v>
      </c>
      <c r="E157" s="442">
        <v>7.2999999999999995E-2</v>
      </c>
      <c r="F157" s="443">
        <v>0.01</v>
      </c>
      <c r="G157" s="455">
        <v>1.82</v>
      </c>
      <c r="H157" s="455">
        <v>0.18</v>
      </c>
      <c r="I157" s="456">
        <v>0.27</v>
      </c>
      <c r="J157" s="448">
        <v>7.0000000000000001E-3</v>
      </c>
    </row>
    <row r="158" spans="1:10" ht="35.049999999999997" customHeight="1" x14ac:dyDescent="0.3">
      <c r="A158" s="452" t="s">
        <v>899</v>
      </c>
      <c r="B158" s="453" t="s">
        <v>480</v>
      </c>
      <c r="C158" s="454">
        <v>0</v>
      </c>
      <c r="D158" s="441">
        <v>0.27800000000000002</v>
      </c>
      <c r="E158" s="442">
        <v>7.2999999999999995E-2</v>
      </c>
      <c r="F158" s="443">
        <v>0.01</v>
      </c>
      <c r="G158" s="455">
        <v>30.68</v>
      </c>
      <c r="H158" s="455">
        <v>0.18</v>
      </c>
      <c r="I158" s="456">
        <v>0.27</v>
      </c>
      <c r="J158" s="448">
        <v>7.0000000000000001E-3</v>
      </c>
    </row>
    <row r="159" spans="1:10" ht="35.049999999999997" customHeight="1" x14ac:dyDescent="0.3">
      <c r="A159" s="452" t="s">
        <v>900</v>
      </c>
      <c r="B159" s="453" t="s">
        <v>480</v>
      </c>
      <c r="C159" s="454">
        <v>0</v>
      </c>
      <c r="D159" s="441">
        <v>0.27800000000000002</v>
      </c>
      <c r="E159" s="442">
        <v>7.2999999999999995E-2</v>
      </c>
      <c r="F159" s="443">
        <v>0.01</v>
      </c>
      <c r="G159" s="455">
        <v>60.61</v>
      </c>
      <c r="H159" s="455">
        <v>0.18</v>
      </c>
      <c r="I159" s="456">
        <v>0.27</v>
      </c>
      <c r="J159" s="448">
        <v>7.0000000000000001E-3</v>
      </c>
    </row>
    <row r="160" spans="1:10" ht="35.049999999999997" customHeight="1" x14ac:dyDescent="0.3">
      <c r="A160" s="452" t="s">
        <v>901</v>
      </c>
      <c r="B160" s="453" t="s">
        <v>480</v>
      </c>
      <c r="C160" s="454">
        <v>0</v>
      </c>
      <c r="D160" s="441">
        <v>0.27800000000000002</v>
      </c>
      <c r="E160" s="442">
        <v>7.2999999999999995E-2</v>
      </c>
      <c r="F160" s="443">
        <v>0.01</v>
      </c>
      <c r="G160" s="455">
        <v>95.29</v>
      </c>
      <c r="H160" s="455">
        <v>0.18</v>
      </c>
      <c r="I160" s="456">
        <v>0.27</v>
      </c>
      <c r="J160" s="448">
        <v>7.0000000000000001E-3</v>
      </c>
    </row>
    <row r="161" spans="1:10" ht="35.049999999999997" customHeight="1" x14ac:dyDescent="0.3">
      <c r="A161" s="452" t="s">
        <v>902</v>
      </c>
      <c r="B161" s="453" t="s">
        <v>480</v>
      </c>
      <c r="C161" s="454">
        <v>0</v>
      </c>
      <c r="D161" s="441">
        <v>0.27800000000000002</v>
      </c>
      <c r="E161" s="442">
        <v>7.2999999999999995E-2</v>
      </c>
      <c r="F161" s="443">
        <v>0.01</v>
      </c>
      <c r="G161" s="455">
        <v>187.3</v>
      </c>
      <c r="H161" s="455">
        <v>0.18</v>
      </c>
      <c r="I161" s="456">
        <v>0.27</v>
      </c>
      <c r="J161" s="448">
        <v>7.0000000000000001E-3</v>
      </c>
    </row>
    <row r="162" spans="1:10" ht="35.049999999999997" customHeight="1" x14ac:dyDescent="0.3">
      <c r="A162" s="452" t="s">
        <v>903</v>
      </c>
      <c r="B162" s="453" t="s">
        <v>480</v>
      </c>
      <c r="C162" s="454">
        <v>0</v>
      </c>
      <c r="D162" s="441">
        <v>0.23200000000000001</v>
      </c>
      <c r="E162" s="442">
        <v>5.8999999999999997E-2</v>
      </c>
      <c r="F162" s="443">
        <v>8.0000000000000002E-3</v>
      </c>
      <c r="G162" s="455">
        <v>25.71</v>
      </c>
      <c r="H162" s="455">
        <v>0.26</v>
      </c>
      <c r="I162" s="456">
        <v>0.42</v>
      </c>
      <c r="J162" s="448">
        <v>6.0000000000000001E-3</v>
      </c>
    </row>
    <row r="163" spans="1:10" ht="35.049999999999997" customHeight="1" x14ac:dyDescent="0.3">
      <c r="A163" s="452" t="s">
        <v>904</v>
      </c>
      <c r="B163" s="453" t="s">
        <v>480</v>
      </c>
      <c r="C163" s="454">
        <v>0</v>
      </c>
      <c r="D163" s="441">
        <v>0.23200000000000001</v>
      </c>
      <c r="E163" s="442">
        <v>5.8999999999999997E-2</v>
      </c>
      <c r="F163" s="443">
        <v>8.0000000000000002E-3</v>
      </c>
      <c r="G163" s="455">
        <v>239.08</v>
      </c>
      <c r="H163" s="455">
        <v>0.26</v>
      </c>
      <c r="I163" s="456">
        <v>0.42</v>
      </c>
      <c r="J163" s="448">
        <v>6.0000000000000001E-3</v>
      </c>
    </row>
    <row r="164" spans="1:10" ht="35.049999999999997" customHeight="1" x14ac:dyDescent="0.3">
      <c r="A164" s="452" t="s">
        <v>905</v>
      </c>
      <c r="B164" s="453" t="s">
        <v>480</v>
      </c>
      <c r="C164" s="454">
        <v>0</v>
      </c>
      <c r="D164" s="441">
        <v>0.23200000000000001</v>
      </c>
      <c r="E164" s="442">
        <v>5.8999999999999997E-2</v>
      </c>
      <c r="F164" s="443">
        <v>8.0000000000000002E-3</v>
      </c>
      <c r="G164" s="455">
        <v>668.49</v>
      </c>
      <c r="H164" s="455">
        <v>0.26</v>
      </c>
      <c r="I164" s="456">
        <v>0.42</v>
      </c>
      <c r="J164" s="448">
        <v>6.0000000000000001E-3</v>
      </c>
    </row>
    <row r="165" spans="1:10" ht="35.049999999999997" customHeight="1" x14ac:dyDescent="0.3">
      <c r="A165" s="452" t="s">
        <v>906</v>
      </c>
      <c r="B165" s="453" t="s">
        <v>480</v>
      </c>
      <c r="C165" s="454">
        <v>0</v>
      </c>
      <c r="D165" s="441">
        <v>0.23200000000000001</v>
      </c>
      <c r="E165" s="442">
        <v>5.8999999999999997E-2</v>
      </c>
      <c r="F165" s="443">
        <v>8.0000000000000002E-3</v>
      </c>
      <c r="G165" s="455">
        <v>1389.09</v>
      </c>
      <c r="H165" s="455">
        <v>0.26</v>
      </c>
      <c r="I165" s="456">
        <v>0.42</v>
      </c>
      <c r="J165" s="448">
        <v>6.0000000000000001E-3</v>
      </c>
    </row>
    <row r="166" spans="1:10" ht="35.049999999999997" customHeight="1" x14ac:dyDescent="0.3">
      <c r="A166" s="452" t="s">
        <v>907</v>
      </c>
      <c r="B166" s="453" t="s">
        <v>480</v>
      </c>
      <c r="C166" s="454">
        <v>0</v>
      </c>
      <c r="D166" s="441">
        <v>0.23200000000000001</v>
      </c>
      <c r="E166" s="442">
        <v>5.8999999999999997E-2</v>
      </c>
      <c r="F166" s="443">
        <v>8.0000000000000002E-3</v>
      </c>
      <c r="G166" s="455">
        <v>3303.73</v>
      </c>
      <c r="H166" s="455">
        <v>0.26</v>
      </c>
      <c r="I166" s="456">
        <v>0.42</v>
      </c>
      <c r="J166" s="448">
        <v>6.0000000000000001E-3</v>
      </c>
    </row>
    <row r="167" spans="1:10" ht="35.049999999999997" customHeight="1" x14ac:dyDescent="0.3">
      <c r="A167" s="452" t="s">
        <v>593</v>
      </c>
      <c r="B167" s="453" t="s">
        <v>480</v>
      </c>
      <c r="C167" s="454" t="s">
        <v>641</v>
      </c>
      <c r="D167" s="449">
        <v>0.82699999999999996</v>
      </c>
      <c r="E167" s="450">
        <v>0.13900000000000001</v>
      </c>
      <c r="F167" s="451">
        <v>8.5000000000000006E-2</v>
      </c>
      <c r="G167" s="445">
        <v>0</v>
      </c>
      <c r="H167" s="445">
        <v>0</v>
      </c>
      <c r="I167" s="445">
        <v>0</v>
      </c>
      <c r="J167" s="446">
        <v>0</v>
      </c>
    </row>
    <row r="168" spans="1:10" ht="35.049999999999997" customHeight="1" x14ac:dyDescent="0.3">
      <c r="A168" s="452" t="s">
        <v>706</v>
      </c>
      <c r="B168" s="453" t="s">
        <v>480</v>
      </c>
      <c r="C168" s="454" t="s">
        <v>719</v>
      </c>
      <c r="D168" s="441">
        <v>-0.34799999999999998</v>
      </c>
      <c r="E168" s="442">
        <v>-9.2999999999999999E-2</v>
      </c>
      <c r="F168" s="443">
        <v>-1.2999999999999999E-2</v>
      </c>
      <c r="G168" s="445">
        <v>0</v>
      </c>
      <c r="H168" s="445">
        <v>0</v>
      </c>
      <c r="I168" s="445">
        <v>0</v>
      </c>
      <c r="J168" s="446">
        <v>0</v>
      </c>
    </row>
    <row r="169" spans="1:10" ht="35.049999999999997" customHeight="1" x14ac:dyDescent="0.3">
      <c r="A169" s="452" t="s">
        <v>707</v>
      </c>
      <c r="B169" s="453" t="s">
        <v>480</v>
      </c>
      <c r="C169" s="454">
        <v>8</v>
      </c>
      <c r="D169" s="441">
        <v>-0.379</v>
      </c>
      <c r="E169" s="442">
        <v>-0.10100000000000001</v>
      </c>
      <c r="F169" s="443">
        <v>-1.4E-2</v>
      </c>
      <c r="G169" s="445">
        <v>0</v>
      </c>
      <c r="H169" s="445">
        <v>0</v>
      </c>
      <c r="I169" s="445">
        <v>0</v>
      </c>
      <c r="J169" s="446">
        <v>0</v>
      </c>
    </row>
    <row r="170" spans="1:10" ht="35.049999999999997" customHeight="1" x14ac:dyDescent="0.3">
      <c r="A170" s="452" t="s">
        <v>708</v>
      </c>
      <c r="B170" s="453" t="s">
        <v>480</v>
      </c>
      <c r="C170" s="454">
        <v>0</v>
      </c>
      <c r="D170" s="441">
        <v>-0.34799999999999998</v>
      </c>
      <c r="E170" s="442">
        <v>-9.2999999999999999E-2</v>
      </c>
      <c r="F170" s="443">
        <v>-1.2999999999999999E-2</v>
      </c>
      <c r="G170" s="445">
        <v>0</v>
      </c>
      <c r="H170" s="445">
        <v>0</v>
      </c>
      <c r="I170" s="445">
        <v>0</v>
      </c>
      <c r="J170" s="448">
        <v>8.9999999999999993E-3</v>
      </c>
    </row>
    <row r="171" spans="1:10" ht="35.049999999999997" customHeight="1" x14ac:dyDescent="0.3">
      <c r="A171" s="452" t="s">
        <v>709</v>
      </c>
      <c r="B171" s="453" t="s">
        <v>480</v>
      </c>
      <c r="C171" s="454">
        <v>0</v>
      </c>
      <c r="D171" s="441">
        <v>-0.379</v>
      </c>
      <c r="E171" s="442">
        <v>-0.10100000000000001</v>
      </c>
      <c r="F171" s="443">
        <v>-1.4E-2</v>
      </c>
      <c r="G171" s="445">
        <v>0</v>
      </c>
      <c r="H171" s="445">
        <v>0</v>
      </c>
      <c r="I171" s="445">
        <v>0</v>
      </c>
      <c r="J171" s="448">
        <v>0.01</v>
      </c>
    </row>
    <row r="172" spans="1:10" ht="35.049999999999997" customHeight="1" x14ac:dyDescent="0.3">
      <c r="A172" s="452" t="s">
        <v>710</v>
      </c>
      <c r="B172" s="453" t="s">
        <v>480</v>
      </c>
      <c r="C172" s="454">
        <v>0</v>
      </c>
      <c r="D172" s="441">
        <v>-0.46899999999999997</v>
      </c>
      <c r="E172" s="442">
        <v>-0.122</v>
      </c>
      <c r="F172" s="443">
        <v>-1.7000000000000001E-2</v>
      </c>
      <c r="G172" s="455">
        <v>27.46</v>
      </c>
      <c r="H172" s="445">
        <v>0</v>
      </c>
      <c r="I172" s="445">
        <v>0</v>
      </c>
      <c r="J172" s="448">
        <v>1.4999999999999999E-2</v>
      </c>
    </row>
    <row r="173" spans="1:10" ht="35.049999999999997" customHeight="1" x14ac:dyDescent="0.3">
      <c r="A173" s="452" t="s">
        <v>908</v>
      </c>
      <c r="B173" s="453" t="s">
        <v>480</v>
      </c>
      <c r="C173" s="454" t="s">
        <v>639</v>
      </c>
      <c r="D173" s="441">
        <v>0.11799999999999999</v>
      </c>
      <c r="E173" s="442">
        <v>3.2000000000000001E-2</v>
      </c>
      <c r="F173" s="443">
        <v>4.0000000000000001E-3</v>
      </c>
      <c r="G173" s="455">
        <v>0.68</v>
      </c>
      <c r="H173" s="445">
        <v>0</v>
      </c>
      <c r="I173" s="445">
        <v>0</v>
      </c>
      <c r="J173" s="446">
        <v>0</v>
      </c>
    </row>
    <row r="174" spans="1:10" ht="35.049999999999997" customHeight="1" x14ac:dyDescent="0.3">
      <c r="A174" s="452" t="s">
        <v>909</v>
      </c>
      <c r="B174" s="453" t="s">
        <v>480</v>
      </c>
      <c r="C174" s="454">
        <v>2</v>
      </c>
      <c r="D174" s="441">
        <v>0.11799999999999999</v>
      </c>
      <c r="E174" s="442">
        <v>3.2000000000000001E-2</v>
      </c>
      <c r="F174" s="443">
        <v>4.0000000000000001E-3</v>
      </c>
      <c r="G174" s="445">
        <v>0</v>
      </c>
      <c r="H174" s="445">
        <v>0</v>
      </c>
      <c r="I174" s="445">
        <v>0</v>
      </c>
      <c r="J174" s="446">
        <v>0</v>
      </c>
    </row>
    <row r="175" spans="1:10" ht="35.049999999999997" customHeight="1" x14ac:dyDescent="0.3">
      <c r="A175" s="452" t="s">
        <v>910</v>
      </c>
      <c r="B175" s="453" t="s">
        <v>480</v>
      </c>
      <c r="C175" s="454" t="s">
        <v>640</v>
      </c>
      <c r="D175" s="441">
        <v>0.129</v>
      </c>
      <c r="E175" s="442">
        <v>3.5000000000000003E-2</v>
      </c>
      <c r="F175" s="443">
        <v>5.0000000000000001E-3</v>
      </c>
      <c r="G175" s="455">
        <v>0.33</v>
      </c>
      <c r="H175" s="445">
        <v>0</v>
      </c>
      <c r="I175" s="445">
        <v>0</v>
      </c>
      <c r="J175" s="446">
        <v>0</v>
      </c>
    </row>
    <row r="176" spans="1:10" ht="35.049999999999997" customHeight="1" x14ac:dyDescent="0.3">
      <c r="A176" s="452" t="s">
        <v>911</v>
      </c>
      <c r="B176" s="453" t="s">
        <v>480</v>
      </c>
      <c r="C176" s="454" t="s">
        <v>640</v>
      </c>
      <c r="D176" s="441">
        <v>0.129</v>
      </c>
      <c r="E176" s="442">
        <v>3.5000000000000003E-2</v>
      </c>
      <c r="F176" s="443">
        <v>5.0000000000000001E-3</v>
      </c>
      <c r="G176" s="455">
        <v>0.45</v>
      </c>
      <c r="H176" s="445">
        <v>0</v>
      </c>
      <c r="I176" s="445">
        <v>0</v>
      </c>
      <c r="J176" s="446">
        <v>0</v>
      </c>
    </row>
    <row r="177" spans="1:10" ht="35.049999999999997" customHeight="1" x14ac:dyDescent="0.3">
      <c r="A177" s="452" t="s">
        <v>912</v>
      </c>
      <c r="B177" s="453" t="s">
        <v>480</v>
      </c>
      <c r="C177" s="454" t="s">
        <v>640</v>
      </c>
      <c r="D177" s="441">
        <v>0.129</v>
      </c>
      <c r="E177" s="442">
        <v>3.5000000000000003E-2</v>
      </c>
      <c r="F177" s="443">
        <v>5.0000000000000001E-3</v>
      </c>
      <c r="G177" s="455">
        <v>0.94</v>
      </c>
      <c r="H177" s="445">
        <v>0</v>
      </c>
      <c r="I177" s="445">
        <v>0</v>
      </c>
      <c r="J177" s="446">
        <v>0</v>
      </c>
    </row>
    <row r="178" spans="1:10" ht="35.049999999999997" customHeight="1" x14ac:dyDescent="0.3">
      <c r="A178" s="452" t="s">
        <v>913</v>
      </c>
      <c r="B178" s="453" t="s">
        <v>480</v>
      </c>
      <c r="C178" s="454" t="s">
        <v>640</v>
      </c>
      <c r="D178" s="441">
        <v>0.129</v>
      </c>
      <c r="E178" s="442">
        <v>3.5000000000000003E-2</v>
      </c>
      <c r="F178" s="443">
        <v>5.0000000000000001E-3</v>
      </c>
      <c r="G178" s="455">
        <v>1.86</v>
      </c>
      <c r="H178" s="445">
        <v>0</v>
      </c>
      <c r="I178" s="445">
        <v>0</v>
      </c>
      <c r="J178" s="446">
        <v>0</v>
      </c>
    </row>
    <row r="179" spans="1:10" ht="35.049999999999997" customHeight="1" x14ac:dyDescent="0.3">
      <c r="A179" s="452" t="s">
        <v>914</v>
      </c>
      <c r="B179" s="453" t="s">
        <v>480</v>
      </c>
      <c r="C179" s="454" t="s">
        <v>640</v>
      </c>
      <c r="D179" s="441">
        <v>0.129</v>
      </c>
      <c r="E179" s="442">
        <v>3.5000000000000003E-2</v>
      </c>
      <c r="F179" s="443">
        <v>5.0000000000000001E-3</v>
      </c>
      <c r="G179" s="455">
        <v>5.16</v>
      </c>
      <c r="H179" s="445">
        <v>0</v>
      </c>
      <c r="I179" s="445">
        <v>0</v>
      </c>
      <c r="J179" s="446">
        <v>0</v>
      </c>
    </row>
    <row r="180" spans="1:10" ht="35.049999999999997" customHeight="1" x14ac:dyDescent="0.3">
      <c r="A180" s="452" t="s">
        <v>594</v>
      </c>
      <c r="B180" s="453" t="s">
        <v>480</v>
      </c>
      <c r="C180" s="454">
        <v>4</v>
      </c>
      <c r="D180" s="441">
        <v>0.129</v>
      </c>
      <c r="E180" s="442">
        <v>3.5000000000000003E-2</v>
      </c>
      <c r="F180" s="443">
        <v>5.0000000000000001E-3</v>
      </c>
      <c r="G180" s="445">
        <v>0</v>
      </c>
      <c r="H180" s="445">
        <v>0</v>
      </c>
      <c r="I180" s="445">
        <v>0</v>
      </c>
      <c r="J180" s="446">
        <v>0</v>
      </c>
    </row>
    <row r="181" spans="1:10" ht="35.049999999999997" customHeight="1" x14ac:dyDescent="0.3">
      <c r="A181" s="452" t="s">
        <v>915</v>
      </c>
      <c r="B181" s="453" t="s">
        <v>480</v>
      </c>
      <c r="C181" s="454">
        <v>0</v>
      </c>
      <c r="D181" s="441">
        <v>0.1</v>
      </c>
      <c r="E181" s="442">
        <v>2.7E-2</v>
      </c>
      <c r="F181" s="443">
        <v>4.0000000000000001E-3</v>
      </c>
      <c r="G181" s="455">
        <v>0.55000000000000004</v>
      </c>
      <c r="H181" s="455">
        <v>0.04</v>
      </c>
      <c r="I181" s="456">
        <v>0.08</v>
      </c>
      <c r="J181" s="448">
        <v>3.0000000000000001E-3</v>
      </c>
    </row>
    <row r="182" spans="1:10" ht="35.049999999999997" customHeight="1" x14ac:dyDescent="0.3">
      <c r="A182" s="452" t="s">
        <v>916</v>
      </c>
      <c r="B182" s="453" t="s">
        <v>480</v>
      </c>
      <c r="C182" s="454">
        <v>0</v>
      </c>
      <c r="D182" s="441">
        <v>0.1</v>
      </c>
      <c r="E182" s="442">
        <v>2.7E-2</v>
      </c>
      <c r="F182" s="443">
        <v>4.0000000000000001E-3</v>
      </c>
      <c r="G182" s="455">
        <v>7.68</v>
      </c>
      <c r="H182" s="455">
        <v>0.04</v>
      </c>
      <c r="I182" s="456">
        <v>0.08</v>
      </c>
      <c r="J182" s="448">
        <v>3.0000000000000001E-3</v>
      </c>
    </row>
    <row r="183" spans="1:10" ht="35.049999999999997" customHeight="1" x14ac:dyDescent="0.3">
      <c r="A183" s="452" t="s">
        <v>917</v>
      </c>
      <c r="B183" s="453" t="s">
        <v>480</v>
      </c>
      <c r="C183" s="454">
        <v>0</v>
      </c>
      <c r="D183" s="441">
        <v>0.1</v>
      </c>
      <c r="E183" s="442">
        <v>2.7E-2</v>
      </c>
      <c r="F183" s="443">
        <v>4.0000000000000001E-3</v>
      </c>
      <c r="G183" s="455">
        <v>15.07</v>
      </c>
      <c r="H183" s="455">
        <v>0.04</v>
      </c>
      <c r="I183" s="456">
        <v>0.08</v>
      </c>
      <c r="J183" s="448">
        <v>3.0000000000000001E-3</v>
      </c>
    </row>
    <row r="184" spans="1:10" ht="35.049999999999997" customHeight="1" x14ac:dyDescent="0.3">
      <c r="A184" s="452" t="s">
        <v>918</v>
      </c>
      <c r="B184" s="453" t="s">
        <v>480</v>
      </c>
      <c r="C184" s="454">
        <v>0</v>
      </c>
      <c r="D184" s="441">
        <v>0.1</v>
      </c>
      <c r="E184" s="442">
        <v>2.7E-2</v>
      </c>
      <c r="F184" s="443">
        <v>4.0000000000000001E-3</v>
      </c>
      <c r="G184" s="455">
        <v>23.64</v>
      </c>
      <c r="H184" s="455">
        <v>0.04</v>
      </c>
      <c r="I184" s="456">
        <v>0.08</v>
      </c>
      <c r="J184" s="448">
        <v>3.0000000000000001E-3</v>
      </c>
    </row>
    <row r="185" spans="1:10" ht="35.049999999999997" customHeight="1" x14ac:dyDescent="0.3">
      <c r="A185" s="452" t="s">
        <v>919</v>
      </c>
      <c r="B185" s="453" t="s">
        <v>480</v>
      </c>
      <c r="C185" s="454">
        <v>0</v>
      </c>
      <c r="D185" s="441">
        <v>0.1</v>
      </c>
      <c r="E185" s="442">
        <v>2.7E-2</v>
      </c>
      <c r="F185" s="443">
        <v>4.0000000000000001E-3</v>
      </c>
      <c r="G185" s="455">
        <v>46.36</v>
      </c>
      <c r="H185" s="455">
        <v>0.04</v>
      </c>
      <c r="I185" s="456">
        <v>0.08</v>
      </c>
      <c r="J185" s="448">
        <v>3.0000000000000001E-3</v>
      </c>
    </row>
    <row r="186" spans="1:10" ht="35.049999999999997" customHeight="1" x14ac:dyDescent="0.3">
      <c r="A186" s="452" t="s">
        <v>920</v>
      </c>
      <c r="B186" s="453" t="s">
        <v>480</v>
      </c>
      <c r="C186" s="454">
        <v>0</v>
      </c>
      <c r="D186" s="441">
        <v>0.114</v>
      </c>
      <c r="E186" s="442">
        <v>0.03</v>
      </c>
      <c r="F186" s="443">
        <v>4.0000000000000001E-3</v>
      </c>
      <c r="G186" s="455">
        <v>0.82</v>
      </c>
      <c r="H186" s="455">
        <v>7.0000000000000007E-2</v>
      </c>
      <c r="I186" s="456">
        <v>0.11</v>
      </c>
      <c r="J186" s="448">
        <v>3.0000000000000001E-3</v>
      </c>
    </row>
    <row r="187" spans="1:10" ht="35.049999999999997" customHeight="1" x14ac:dyDescent="0.3">
      <c r="A187" s="452" t="s">
        <v>921</v>
      </c>
      <c r="B187" s="453" t="s">
        <v>480</v>
      </c>
      <c r="C187" s="454">
        <v>0</v>
      </c>
      <c r="D187" s="441">
        <v>0.114</v>
      </c>
      <c r="E187" s="442">
        <v>0.03</v>
      </c>
      <c r="F187" s="443">
        <v>4.0000000000000001E-3</v>
      </c>
      <c r="G187" s="455">
        <v>12.62</v>
      </c>
      <c r="H187" s="455">
        <v>7.0000000000000007E-2</v>
      </c>
      <c r="I187" s="456">
        <v>0.11</v>
      </c>
      <c r="J187" s="448">
        <v>3.0000000000000001E-3</v>
      </c>
    </row>
    <row r="188" spans="1:10" ht="35.049999999999997" customHeight="1" x14ac:dyDescent="0.3">
      <c r="A188" s="452" t="s">
        <v>922</v>
      </c>
      <c r="B188" s="453" t="s">
        <v>480</v>
      </c>
      <c r="C188" s="454">
        <v>0</v>
      </c>
      <c r="D188" s="441">
        <v>0.114</v>
      </c>
      <c r="E188" s="442">
        <v>0.03</v>
      </c>
      <c r="F188" s="443">
        <v>4.0000000000000001E-3</v>
      </c>
      <c r="G188" s="455">
        <v>24.86</v>
      </c>
      <c r="H188" s="455">
        <v>7.0000000000000007E-2</v>
      </c>
      <c r="I188" s="456">
        <v>0.11</v>
      </c>
      <c r="J188" s="448">
        <v>3.0000000000000001E-3</v>
      </c>
    </row>
    <row r="189" spans="1:10" ht="35.049999999999997" customHeight="1" x14ac:dyDescent="0.3">
      <c r="A189" s="452" t="s">
        <v>923</v>
      </c>
      <c r="B189" s="453" t="s">
        <v>480</v>
      </c>
      <c r="C189" s="454">
        <v>0</v>
      </c>
      <c r="D189" s="441">
        <v>0.114</v>
      </c>
      <c r="E189" s="442">
        <v>0.03</v>
      </c>
      <c r="F189" s="443">
        <v>4.0000000000000001E-3</v>
      </c>
      <c r="G189" s="455">
        <v>39.04</v>
      </c>
      <c r="H189" s="455">
        <v>7.0000000000000007E-2</v>
      </c>
      <c r="I189" s="456">
        <v>0.11</v>
      </c>
      <c r="J189" s="448">
        <v>3.0000000000000001E-3</v>
      </c>
    </row>
    <row r="190" spans="1:10" ht="35.049999999999997" customHeight="1" x14ac:dyDescent="0.3">
      <c r="A190" s="452" t="s">
        <v>924</v>
      </c>
      <c r="B190" s="453" t="s">
        <v>480</v>
      </c>
      <c r="C190" s="454">
        <v>0</v>
      </c>
      <c r="D190" s="441">
        <v>0.114</v>
      </c>
      <c r="E190" s="442">
        <v>0.03</v>
      </c>
      <c r="F190" s="443">
        <v>4.0000000000000001E-3</v>
      </c>
      <c r="G190" s="455">
        <v>76.66</v>
      </c>
      <c r="H190" s="455">
        <v>7.0000000000000007E-2</v>
      </c>
      <c r="I190" s="456">
        <v>0.11</v>
      </c>
      <c r="J190" s="448">
        <v>3.0000000000000001E-3</v>
      </c>
    </row>
    <row r="191" spans="1:10" ht="35.049999999999997" customHeight="1" x14ac:dyDescent="0.3">
      <c r="A191" s="452" t="s">
        <v>925</v>
      </c>
      <c r="B191" s="453" t="s">
        <v>480</v>
      </c>
      <c r="C191" s="454">
        <v>0</v>
      </c>
      <c r="D191" s="441">
        <v>9.5000000000000001E-2</v>
      </c>
      <c r="E191" s="442">
        <v>2.4E-2</v>
      </c>
      <c r="F191" s="443">
        <v>3.0000000000000001E-3</v>
      </c>
      <c r="G191" s="455">
        <v>10.59</v>
      </c>
      <c r="H191" s="455">
        <v>0.11</v>
      </c>
      <c r="I191" s="456">
        <v>0.17</v>
      </c>
      <c r="J191" s="448">
        <v>2E-3</v>
      </c>
    </row>
    <row r="192" spans="1:10" ht="35.049999999999997" customHeight="1" x14ac:dyDescent="0.3">
      <c r="A192" s="452" t="s">
        <v>926</v>
      </c>
      <c r="B192" s="453" t="s">
        <v>480</v>
      </c>
      <c r="C192" s="454">
        <v>0</v>
      </c>
      <c r="D192" s="441">
        <v>9.5000000000000001E-2</v>
      </c>
      <c r="E192" s="442">
        <v>2.4E-2</v>
      </c>
      <c r="F192" s="443">
        <v>3.0000000000000001E-3</v>
      </c>
      <c r="G192" s="455">
        <v>97.83</v>
      </c>
      <c r="H192" s="455">
        <v>0.11</v>
      </c>
      <c r="I192" s="456">
        <v>0.17</v>
      </c>
      <c r="J192" s="448">
        <v>2E-3</v>
      </c>
    </row>
    <row r="193" spans="1:10" ht="35.049999999999997" customHeight="1" x14ac:dyDescent="0.3">
      <c r="A193" s="452" t="s">
        <v>927</v>
      </c>
      <c r="B193" s="453" t="s">
        <v>480</v>
      </c>
      <c r="C193" s="454">
        <v>0</v>
      </c>
      <c r="D193" s="441">
        <v>9.5000000000000001E-2</v>
      </c>
      <c r="E193" s="442">
        <v>2.4E-2</v>
      </c>
      <c r="F193" s="443">
        <v>3.0000000000000001E-3</v>
      </c>
      <c r="G193" s="455">
        <v>273.39</v>
      </c>
      <c r="H193" s="455">
        <v>0.11</v>
      </c>
      <c r="I193" s="456">
        <v>0.17</v>
      </c>
      <c r="J193" s="448">
        <v>2E-3</v>
      </c>
    </row>
    <row r="194" spans="1:10" ht="35.049999999999997" customHeight="1" x14ac:dyDescent="0.3">
      <c r="A194" s="452" t="s">
        <v>928</v>
      </c>
      <c r="B194" s="453" t="s">
        <v>480</v>
      </c>
      <c r="C194" s="454">
        <v>0</v>
      </c>
      <c r="D194" s="441">
        <v>9.5000000000000001E-2</v>
      </c>
      <c r="E194" s="442">
        <v>2.4E-2</v>
      </c>
      <c r="F194" s="443">
        <v>3.0000000000000001E-3</v>
      </c>
      <c r="G194" s="455">
        <v>568.01</v>
      </c>
      <c r="H194" s="455">
        <v>0.11</v>
      </c>
      <c r="I194" s="456">
        <v>0.17</v>
      </c>
      <c r="J194" s="448">
        <v>2E-3</v>
      </c>
    </row>
    <row r="195" spans="1:10" ht="35.049999999999997" customHeight="1" x14ac:dyDescent="0.3">
      <c r="A195" s="452" t="s">
        <v>929</v>
      </c>
      <c r="B195" s="453" t="s">
        <v>480</v>
      </c>
      <c r="C195" s="454">
        <v>0</v>
      </c>
      <c r="D195" s="441">
        <v>9.5000000000000001E-2</v>
      </c>
      <c r="E195" s="442">
        <v>2.4E-2</v>
      </c>
      <c r="F195" s="443">
        <v>3.0000000000000001E-3</v>
      </c>
      <c r="G195" s="455">
        <v>1350.81</v>
      </c>
      <c r="H195" s="455">
        <v>0.11</v>
      </c>
      <c r="I195" s="456">
        <v>0.17</v>
      </c>
      <c r="J195" s="448">
        <v>2E-3</v>
      </c>
    </row>
    <row r="196" spans="1:10" ht="35.049999999999997" customHeight="1" x14ac:dyDescent="0.3">
      <c r="A196" s="452" t="s">
        <v>595</v>
      </c>
      <c r="B196" s="453" t="s">
        <v>480</v>
      </c>
      <c r="C196" s="454" t="s">
        <v>641</v>
      </c>
      <c r="D196" s="449">
        <v>0.33800000000000002</v>
      </c>
      <c r="E196" s="450">
        <v>5.7000000000000002E-2</v>
      </c>
      <c r="F196" s="451">
        <v>3.5000000000000003E-2</v>
      </c>
      <c r="G196" s="445">
        <v>0</v>
      </c>
      <c r="H196" s="445">
        <v>0</v>
      </c>
      <c r="I196" s="445">
        <v>0</v>
      </c>
      <c r="J196" s="446">
        <v>0</v>
      </c>
    </row>
    <row r="197" spans="1:10" ht="35.049999999999997" customHeight="1" x14ac:dyDescent="0.3">
      <c r="A197" s="452" t="s">
        <v>711</v>
      </c>
      <c r="B197" s="453" t="s">
        <v>480</v>
      </c>
      <c r="C197" s="454" t="s">
        <v>719</v>
      </c>
      <c r="D197" s="441">
        <v>-0.14199999999999999</v>
      </c>
      <c r="E197" s="442">
        <v>-3.7999999999999999E-2</v>
      </c>
      <c r="F197" s="443">
        <v>-5.0000000000000001E-3</v>
      </c>
      <c r="G197" s="445">
        <v>0</v>
      </c>
      <c r="H197" s="445">
        <v>0</v>
      </c>
      <c r="I197" s="445">
        <v>0</v>
      </c>
      <c r="J197" s="446">
        <v>0</v>
      </c>
    </row>
    <row r="198" spans="1:10" ht="35.049999999999997" customHeight="1" x14ac:dyDescent="0.3">
      <c r="A198" s="452" t="s">
        <v>712</v>
      </c>
      <c r="B198" s="453" t="s">
        <v>480</v>
      </c>
      <c r="C198" s="454">
        <v>8</v>
      </c>
      <c r="D198" s="441">
        <v>-0.155</v>
      </c>
      <c r="E198" s="442">
        <v>-4.1000000000000002E-2</v>
      </c>
      <c r="F198" s="443">
        <v>-6.0000000000000001E-3</v>
      </c>
      <c r="G198" s="445">
        <v>0</v>
      </c>
      <c r="H198" s="445">
        <v>0</v>
      </c>
      <c r="I198" s="445">
        <v>0</v>
      </c>
      <c r="J198" s="446">
        <v>0</v>
      </c>
    </row>
    <row r="199" spans="1:10" ht="35.049999999999997" customHeight="1" x14ac:dyDescent="0.3">
      <c r="A199" s="452" t="s">
        <v>713</v>
      </c>
      <c r="B199" s="453" t="s">
        <v>480</v>
      </c>
      <c r="C199" s="454">
        <v>0</v>
      </c>
      <c r="D199" s="441">
        <v>-0.14199999999999999</v>
      </c>
      <c r="E199" s="442">
        <v>-3.7999999999999999E-2</v>
      </c>
      <c r="F199" s="443">
        <v>-5.0000000000000001E-3</v>
      </c>
      <c r="G199" s="445">
        <v>0</v>
      </c>
      <c r="H199" s="445">
        <v>0</v>
      </c>
      <c r="I199" s="445">
        <v>0</v>
      </c>
      <c r="J199" s="448">
        <v>4.0000000000000001E-3</v>
      </c>
    </row>
    <row r="200" spans="1:10" ht="35.049999999999997" customHeight="1" x14ac:dyDescent="0.3">
      <c r="A200" s="452" t="s">
        <v>714</v>
      </c>
      <c r="B200" s="453" t="s">
        <v>480</v>
      </c>
      <c r="C200" s="454">
        <v>0</v>
      </c>
      <c r="D200" s="441">
        <v>-0.155</v>
      </c>
      <c r="E200" s="442">
        <v>-4.1000000000000002E-2</v>
      </c>
      <c r="F200" s="443">
        <v>-6.0000000000000001E-3</v>
      </c>
      <c r="G200" s="445">
        <v>0</v>
      </c>
      <c r="H200" s="445">
        <v>0</v>
      </c>
      <c r="I200" s="445">
        <v>0</v>
      </c>
      <c r="J200" s="448">
        <v>4.0000000000000001E-3</v>
      </c>
    </row>
    <row r="201" spans="1:10" ht="35.049999999999997" customHeight="1" x14ac:dyDescent="0.3">
      <c r="A201" s="452" t="s">
        <v>715</v>
      </c>
      <c r="B201" s="453" t="s">
        <v>480</v>
      </c>
      <c r="C201" s="454">
        <v>0</v>
      </c>
      <c r="D201" s="441">
        <v>-0.192</v>
      </c>
      <c r="E201" s="442">
        <v>-0.05</v>
      </c>
      <c r="F201" s="443">
        <v>-7.0000000000000001E-3</v>
      </c>
      <c r="G201" s="455">
        <v>11.23</v>
      </c>
      <c r="H201" s="445">
        <v>0</v>
      </c>
      <c r="I201" s="445">
        <v>0</v>
      </c>
      <c r="J201" s="448">
        <v>6.0000000000000001E-3</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8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MS,Regular"
&amp;"Trebuchet MS,Bold"Annex 4&amp;"Trebuchet MS,Regular" - Charges applied to LDNOs with HV/LV end users</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61"/>
  <sheetViews>
    <sheetView zoomScale="50" zoomScaleNormal="50" workbookViewId="0">
      <selection activeCell="B10" sqref="B10:E10"/>
    </sheetView>
  </sheetViews>
  <sheetFormatPr defaultColWidth="9.15234375" defaultRowHeight="27.75" customHeight="1" x14ac:dyDescent="0.3"/>
  <cols>
    <col min="1" max="1" width="50.69140625" style="87" customWidth="1"/>
    <col min="2" max="2" width="20.69140625" style="101" customWidth="1"/>
    <col min="3" max="4" width="20.69140625" style="87" customWidth="1"/>
    <col min="5" max="7" width="20.69140625" style="101" customWidth="1"/>
    <col min="8" max="9" width="20.69140625" style="102" customWidth="1"/>
    <col min="10" max="10" width="20.69140625" style="103" customWidth="1"/>
    <col min="11" max="11" width="20.69140625" style="104" customWidth="1"/>
    <col min="12" max="12" width="1.3828125" style="88" customWidth="1"/>
    <col min="13" max="18" width="15.53515625" style="87" customWidth="1"/>
    <col min="19" max="16384" width="9.15234375" style="87"/>
  </cols>
  <sheetData>
    <row r="1" spans="1:23" ht="40" customHeight="1" x14ac:dyDescent="0.3">
      <c r="A1" s="56" t="s">
        <v>19</v>
      </c>
      <c r="B1" s="45"/>
      <c r="C1" s="45"/>
      <c r="D1" s="45"/>
      <c r="E1" s="551" t="s">
        <v>463</v>
      </c>
      <c r="F1" s="551"/>
      <c r="G1" s="551"/>
      <c r="H1" s="551"/>
      <c r="I1" s="551"/>
      <c r="J1" s="551"/>
      <c r="K1" s="551"/>
      <c r="L1" s="251"/>
      <c r="M1" s="251"/>
      <c r="N1" s="251"/>
    </row>
    <row r="2" spans="1:23" ht="40" customHeight="1" x14ac:dyDescent="0.3">
      <c r="A2" s="552" t="str">
        <f>Overview!B4&amp;" - Effective from "&amp;Overview!D4&amp;" - Final LV and HV charges in WPD EM Area (GSP Group _B)"</f>
        <v>Indigo Power Limited - Effective from 1 April 2023 - Final LV and HV charges in WPD EM Area (GSP Group _B)</v>
      </c>
      <c r="B2" s="552"/>
      <c r="C2" s="552"/>
      <c r="D2" s="552"/>
      <c r="E2" s="552"/>
      <c r="F2" s="552"/>
      <c r="G2" s="552"/>
      <c r="H2" s="552"/>
      <c r="I2" s="552"/>
      <c r="J2" s="552"/>
      <c r="K2" s="552"/>
      <c r="L2" s="254"/>
      <c r="M2" s="255"/>
      <c r="N2" s="255"/>
    </row>
    <row r="3" spans="1:23" s="90" customFormat="1" ht="40" customHeight="1" x14ac:dyDescent="0.3">
      <c r="A3" s="45"/>
      <c r="B3" s="45"/>
      <c r="C3" s="45"/>
      <c r="D3" s="45"/>
      <c r="E3" s="45"/>
      <c r="F3" s="45"/>
      <c r="G3" s="45"/>
      <c r="H3" s="45"/>
      <c r="I3" s="45"/>
      <c r="J3" s="45"/>
      <c r="K3" s="45"/>
      <c r="L3" s="89"/>
    </row>
    <row r="4" spans="1:23" ht="40" customHeight="1" x14ac:dyDescent="0.3">
      <c r="A4" s="553" t="s">
        <v>308</v>
      </c>
      <c r="B4" s="554"/>
      <c r="C4" s="554"/>
      <c r="D4" s="554"/>
      <c r="E4" s="555"/>
      <c r="F4" s="45"/>
      <c r="G4" s="553" t="s">
        <v>307</v>
      </c>
      <c r="H4" s="554"/>
      <c r="I4" s="554"/>
      <c r="J4" s="554"/>
      <c r="K4" s="555"/>
      <c r="M4" s="255"/>
    </row>
    <row r="5" spans="1:23" ht="40" customHeight="1" x14ac:dyDescent="0.3">
      <c r="A5" s="468" t="s">
        <v>13</v>
      </c>
      <c r="B5" s="270" t="s">
        <v>299</v>
      </c>
      <c r="C5" s="547" t="s">
        <v>300</v>
      </c>
      <c r="D5" s="548"/>
      <c r="E5" s="42" t="s">
        <v>301</v>
      </c>
      <c r="F5" s="45"/>
      <c r="G5" s="549"/>
      <c r="H5" s="550"/>
      <c r="I5" s="43" t="s">
        <v>305</v>
      </c>
      <c r="J5" s="44" t="s">
        <v>306</v>
      </c>
      <c r="K5" s="42" t="s">
        <v>301</v>
      </c>
      <c r="L5" s="45"/>
      <c r="M5" s="255"/>
    </row>
    <row r="6" spans="1:23" ht="40" customHeight="1" x14ac:dyDescent="0.3">
      <c r="A6" s="105" t="s">
        <v>609</v>
      </c>
      <c r="B6" s="13" t="s">
        <v>467</v>
      </c>
      <c r="C6" s="542" t="s">
        <v>610</v>
      </c>
      <c r="D6" s="543" t="s">
        <v>603</v>
      </c>
      <c r="E6" s="86" t="s">
        <v>611</v>
      </c>
      <c r="F6" s="45"/>
      <c r="G6" s="537" t="s">
        <v>468</v>
      </c>
      <c r="H6" s="538" t="s">
        <v>603</v>
      </c>
      <c r="I6" s="13" t="s">
        <v>467</v>
      </c>
      <c r="J6" s="269" t="s">
        <v>610</v>
      </c>
      <c r="K6" s="269" t="s">
        <v>611</v>
      </c>
      <c r="L6" s="45"/>
      <c r="M6" s="88"/>
    </row>
    <row r="7" spans="1:23" ht="40" customHeight="1" x14ac:dyDescent="0.3">
      <c r="A7" s="105" t="s">
        <v>612</v>
      </c>
      <c r="B7" s="263" t="s">
        <v>603</v>
      </c>
      <c r="C7" s="556" t="s">
        <v>603</v>
      </c>
      <c r="D7" s="557" t="s">
        <v>603</v>
      </c>
      <c r="E7" s="269" t="s">
        <v>613</v>
      </c>
      <c r="F7" s="45"/>
      <c r="G7" s="537" t="s">
        <v>614</v>
      </c>
      <c r="H7" s="538" t="s">
        <v>603</v>
      </c>
      <c r="I7" s="263" t="s">
        <v>603</v>
      </c>
      <c r="J7" s="269" t="s">
        <v>615</v>
      </c>
      <c r="K7" s="269" t="s">
        <v>611</v>
      </c>
      <c r="L7" s="45"/>
      <c r="M7" s="88"/>
    </row>
    <row r="8" spans="1:23" ht="40" customHeight="1" x14ac:dyDescent="0.3">
      <c r="A8" s="465" t="s">
        <v>14</v>
      </c>
      <c r="B8" s="537" t="s">
        <v>15</v>
      </c>
      <c r="C8" s="546" t="s">
        <v>603</v>
      </c>
      <c r="D8" s="546" t="s">
        <v>603</v>
      </c>
      <c r="E8" s="538" t="s">
        <v>603</v>
      </c>
      <c r="F8" s="45"/>
      <c r="G8" s="537" t="s">
        <v>612</v>
      </c>
      <c r="H8" s="538" t="s">
        <v>603</v>
      </c>
      <c r="I8" s="263" t="s">
        <v>603</v>
      </c>
      <c r="J8" s="263" t="s">
        <v>603</v>
      </c>
      <c r="K8" s="269" t="s">
        <v>613</v>
      </c>
      <c r="L8" s="45"/>
      <c r="M8" s="88"/>
    </row>
    <row r="9" spans="1:23" s="100" customFormat="1" ht="40" customHeight="1" x14ac:dyDescent="0.3">
      <c r="A9" s="267"/>
      <c r="B9" s="267"/>
      <c r="C9" s="558"/>
      <c r="D9" s="559"/>
      <c r="E9" s="267"/>
      <c r="F9" s="45"/>
      <c r="G9" s="537" t="s">
        <v>14</v>
      </c>
      <c r="H9" s="538" t="s">
        <v>603</v>
      </c>
      <c r="I9" s="537" t="s">
        <v>15</v>
      </c>
      <c r="J9" s="546" t="s">
        <v>603</v>
      </c>
      <c r="K9" s="538" t="s">
        <v>603</v>
      </c>
      <c r="L9" s="45"/>
      <c r="M9" s="99"/>
    </row>
    <row r="10" spans="1:23" s="90" customFormat="1" ht="40" customHeight="1" x14ac:dyDescent="0.3">
      <c r="A10" s="111"/>
      <c r="B10" s="560" t="s">
        <v>480</v>
      </c>
      <c r="C10" s="561"/>
      <c r="D10" s="561"/>
      <c r="E10" s="562"/>
      <c r="F10" s="45"/>
      <c r="G10" s="558"/>
      <c r="H10" s="559"/>
      <c r="I10" s="268"/>
      <c r="J10" s="268"/>
      <c r="K10" s="268"/>
      <c r="L10" s="45"/>
      <c r="M10" s="89"/>
    </row>
    <row r="11" spans="1:23" ht="75" customHeight="1" x14ac:dyDescent="0.3">
      <c r="A11" s="18" t="s">
        <v>455</v>
      </c>
      <c r="B11" s="356" t="s">
        <v>23</v>
      </c>
      <c r="C11" s="356" t="s">
        <v>24</v>
      </c>
      <c r="D11" s="374" t="s">
        <v>579</v>
      </c>
      <c r="E11" s="374" t="s">
        <v>580</v>
      </c>
      <c r="F11" s="374" t="s">
        <v>581</v>
      </c>
      <c r="G11" s="356" t="s">
        <v>25</v>
      </c>
      <c r="H11" s="356" t="s">
        <v>26</v>
      </c>
      <c r="I11" s="18" t="s">
        <v>456</v>
      </c>
      <c r="J11" s="356" t="s">
        <v>270</v>
      </c>
      <c r="K11" s="356" t="s">
        <v>0</v>
      </c>
      <c r="M11" s="90"/>
      <c r="N11" s="90"/>
      <c r="O11" s="90"/>
      <c r="P11" s="90"/>
      <c r="Q11" s="90"/>
      <c r="R11" s="90"/>
      <c r="S11" s="90"/>
      <c r="T11" s="90"/>
      <c r="U11" s="90"/>
      <c r="V11" s="90"/>
      <c r="W11" s="90"/>
    </row>
    <row r="12" spans="1:23" ht="35.049999999999997" customHeight="1" x14ac:dyDescent="0.3">
      <c r="A12" s="10" t="s">
        <v>570</v>
      </c>
      <c r="B12" s="387" t="s">
        <v>931</v>
      </c>
      <c r="C12" s="375" t="s">
        <v>574</v>
      </c>
      <c r="D12" s="481">
        <v>6.6020000000000003</v>
      </c>
      <c r="E12" s="478">
        <v>1.4930000000000001</v>
      </c>
      <c r="F12" s="479">
        <v>0.124</v>
      </c>
      <c r="G12" s="480">
        <v>11.38</v>
      </c>
      <c r="H12" s="476">
        <v>0</v>
      </c>
      <c r="I12" s="476">
        <v>0</v>
      </c>
      <c r="J12" s="482">
        <v>0</v>
      </c>
      <c r="K12" s="26"/>
      <c r="M12" s="89"/>
      <c r="N12" s="90"/>
      <c r="O12" s="90"/>
      <c r="P12" s="90"/>
      <c r="Q12" s="90"/>
      <c r="R12" s="90"/>
      <c r="S12" s="90"/>
      <c r="T12" s="90"/>
      <c r="U12" s="90"/>
      <c r="V12" s="90"/>
      <c r="W12" s="90"/>
    </row>
    <row r="13" spans="1:23" ht="35.049999999999997" customHeight="1" x14ac:dyDescent="0.3">
      <c r="A13" s="10" t="s">
        <v>571</v>
      </c>
      <c r="B13" s="387" t="s">
        <v>932</v>
      </c>
      <c r="C13" s="375" t="s">
        <v>575</v>
      </c>
      <c r="D13" s="481">
        <v>6.6020000000000003</v>
      </c>
      <c r="E13" s="478">
        <v>1.4930000000000001</v>
      </c>
      <c r="F13" s="479">
        <v>0.124</v>
      </c>
      <c r="G13" s="476">
        <v>0</v>
      </c>
      <c r="H13" s="476">
        <v>0</v>
      </c>
      <c r="I13" s="476">
        <v>0</v>
      </c>
      <c r="J13" s="482">
        <v>0</v>
      </c>
      <c r="K13" s="26" t="s">
        <v>603</v>
      </c>
      <c r="M13" s="90"/>
      <c r="N13" s="90"/>
      <c r="O13" s="90"/>
      <c r="P13" s="90"/>
      <c r="Q13" s="90"/>
      <c r="R13" s="90"/>
      <c r="S13" s="90"/>
      <c r="T13" s="90"/>
      <c r="U13" s="90"/>
      <c r="V13" s="90"/>
      <c r="W13" s="90"/>
    </row>
    <row r="14" spans="1:23" ht="35.049999999999997" customHeight="1" x14ac:dyDescent="0.3">
      <c r="A14" s="10" t="s">
        <v>745</v>
      </c>
      <c r="B14" s="387" t="s">
        <v>933</v>
      </c>
      <c r="C14" s="375" t="s">
        <v>576</v>
      </c>
      <c r="D14" s="481">
        <v>6.0359999999999996</v>
      </c>
      <c r="E14" s="478">
        <v>1.365</v>
      </c>
      <c r="F14" s="479">
        <v>0.114</v>
      </c>
      <c r="G14" s="480">
        <v>8.74</v>
      </c>
      <c r="H14" s="476">
        <v>0</v>
      </c>
      <c r="I14" s="476">
        <v>0</v>
      </c>
      <c r="J14" s="482">
        <v>0</v>
      </c>
      <c r="K14" s="26"/>
      <c r="M14" s="89"/>
      <c r="N14" s="90"/>
      <c r="O14" s="90"/>
      <c r="P14" s="90"/>
      <c r="Q14" s="90"/>
      <c r="R14" s="90"/>
      <c r="S14" s="90"/>
      <c r="T14" s="90"/>
      <c r="U14" s="90"/>
      <c r="V14" s="90"/>
      <c r="W14" s="90"/>
    </row>
    <row r="15" spans="1:23" ht="35.049999999999997" customHeight="1" x14ac:dyDescent="0.3">
      <c r="A15" s="10" t="s">
        <v>746</v>
      </c>
      <c r="B15" s="387" t="s">
        <v>934</v>
      </c>
      <c r="C15" s="436" t="s">
        <v>930</v>
      </c>
      <c r="D15" s="481">
        <v>6.0359999999999996</v>
      </c>
      <c r="E15" s="478">
        <v>1.365</v>
      </c>
      <c r="F15" s="479">
        <v>0.114</v>
      </c>
      <c r="G15" s="480">
        <v>11.82</v>
      </c>
      <c r="H15" s="476">
        <v>0</v>
      </c>
      <c r="I15" s="476">
        <v>0</v>
      </c>
      <c r="J15" s="482">
        <v>0</v>
      </c>
      <c r="K15" s="26" t="s">
        <v>480</v>
      </c>
      <c r="M15" s="90"/>
      <c r="N15" s="90"/>
      <c r="O15" s="90"/>
      <c r="P15" s="90"/>
      <c r="Q15" s="90"/>
      <c r="R15" s="90"/>
      <c r="S15" s="90"/>
      <c r="T15" s="90"/>
      <c r="U15" s="90"/>
      <c r="V15" s="90"/>
      <c r="W15" s="90"/>
    </row>
    <row r="16" spans="1:23" ht="35.049999999999997" customHeight="1" x14ac:dyDescent="0.3">
      <c r="A16" s="10" t="s">
        <v>747</v>
      </c>
      <c r="B16" s="27" t="s">
        <v>935</v>
      </c>
      <c r="C16" s="436" t="s">
        <v>930</v>
      </c>
      <c r="D16" s="481">
        <v>6.0359999999999996</v>
      </c>
      <c r="E16" s="478">
        <v>1.365</v>
      </c>
      <c r="F16" s="479">
        <v>0.114</v>
      </c>
      <c r="G16" s="480">
        <v>23.34</v>
      </c>
      <c r="H16" s="476">
        <v>0</v>
      </c>
      <c r="I16" s="476">
        <v>0</v>
      </c>
      <c r="J16" s="482">
        <v>0</v>
      </c>
      <c r="K16" s="26"/>
      <c r="M16" s="89"/>
      <c r="N16" s="90"/>
      <c r="O16" s="90"/>
      <c r="P16" s="90"/>
      <c r="Q16" s="90"/>
      <c r="R16" s="90"/>
      <c r="S16" s="90"/>
      <c r="T16" s="90"/>
      <c r="U16" s="90"/>
      <c r="V16" s="90"/>
      <c r="W16" s="90"/>
    </row>
    <row r="17" spans="1:23" ht="35.049999999999997" customHeight="1" x14ac:dyDescent="0.3">
      <c r="A17" s="10" t="s">
        <v>748</v>
      </c>
      <c r="B17" s="27" t="s">
        <v>936</v>
      </c>
      <c r="C17" s="436" t="s">
        <v>930</v>
      </c>
      <c r="D17" s="481">
        <v>6.0359999999999996</v>
      </c>
      <c r="E17" s="478">
        <v>1.365</v>
      </c>
      <c r="F17" s="479">
        <v>0.114</v>
      </c>
      <c r="G17" s="480">
        <v>44.71</v>
      </c>
      <c r="H17" s="476">
        <v>0</v>
      </c>
      <c r="I17" s="476">
        <v>0</v>
      </c>
      <c r="J17" s="482">
        <v>0</v>
      </c>
      <c r="K17" s="26"/>
      <c r="M17" s="90"/>
      <c r="N17" s="90"/>
      <c r="O17" s="90"/>
      <c r="P17" s="90"/>
      <c r="Q17" s="90"/>
      <c r="R17" s="90"/>
      <c r="S17" s="90"/>
      <c r="T17" s="90"/>
      <c r="U17" s="90"/>
      <c r="V17" s="90"/>
      <c r="W17" s="90"/>
    </row>
    <row r="18" spans="1:23" ht="35.049999999999997" customHeight="1" x14ac:dyDescent="0.3">
      <c r="A18" s="10" t="s">
        <v>749</v>
      </c>
      <c r="B18" s="27" t="s">
        <v>937</v>
      </c>
      <c r="C18" s="436" t="s">
        <v>930</v>
      </c>
      <c r="D18" s="481">
        <v>6.0359999999999996</v>
      </c>
      <c r="E18" s="478">
        <v>1.365</v>
      </c>
      <c r="F18" s="479">
        <v>0.114</v>
      </c>
      <c r="G18" s="480">
        <v>123.23</v>
      </c>
      <c r="H18" s="476">
        <v>0</v>
      </c>
      <c r="I18" s="476">
        <v>0</v>
      </c>
      <c r="J18" s="482">
        <v>0</v>
      </c>
      <c r="K18" s="26"/>
      <c r="M18" s="89"/>
      <c r="N18" s="90"/>
      <c r="O18" s="90"/>
      <c r="P18" s="90"/>
      <c r="Q18" s="90"/>
      <c r="R18" s="90"/>
      <c r="S18" s="90"/>
      <c r="T18" s="90"/>
      <c r="U18" s="90"/>
      <c r="V18" s="90"/>
      <c r="W18" s="90"/>
    </row>
    <row r="19" spans="1:23" s="1" customFormat="1" ht="35.049999999999997" customHeight="1" x14ac:dyDescent="0.3">
      <c r="A19" s="10" t="s">
        <v>572</v>
      </c>
      <c r="B19" s="27" t="s">
        <v>938</v>
      </c>
      <c r="C19" s="391" t="s">
        <v>577</v>
      </c>
      <c r="D19" s="481">
        <v>6.0359999999999996</v>
      </c>
      <c r="E19" s="478">
        <v>1.365</v>
      </c>
      <c r="F19" s="479">
        <v>0.114</v>
      </c>
      <c r="G19" s="476">
        <v>0</v>
      </c>
      <c r="H19" s="476">
        <v>0</v>
      </c>
      <c r="I19" s="476">
        <v>0</v>
      </c>
      <c r="J19" s="482">
        <v>0</v>
      </c>
      <c r="K19" s="26" t="s">
        <v>603</v>
      </c>
      <c r="L19" s="3"/>
      <c r="M19" s="90"/>
      <c r="N19" s="90"/>
      <c r="O19" s="90"/>
      <c r="P19" s="90"/>
      <c r="Q19" s="90"/>
      <c r="R19" s="90"/>
      <c r="S19" s="90"/>
      <c r="T19" s="90"/>
      <c r="U19" s="90"/>
      <c r="V19" s="90"/>
      <c r="W19" s="90"/>
    </row>
    <row r="20" spans="1:23" s="1" customFormat="1" ht="35.049999999999997" customHeight="1" x14ac:dyDescent="0.3">
      <c r="A20" s="10" t="s">
        <v>750</v>
      </c>
      <c r="B20" s="24" t="s">
        <v>939</v>
      </c>
      <c r="C20" s="395">
        <v>0</v>
      </c>
      <c r="D20" s="481">
        <v>4.5359999999999996</v>
      </c>
      <c r="E20" s="478">
        <v>0.99399999999999999</v>
      </c>
      <c r="F20" s="479">
        <v>8.3000000000000004E-2</v>
      </c>
      <c r="G20" s="480">
        <v>13.2</v>
      </c>
      <c r="H20" s="480">
        <v>3.26</v>
      </c>
      <c r="I20" s="485">
        <v>6.18</v>
      </c>
      <c r="J20" s="475">
        <v>0.154</v>
      </c>
      <c r="K20" s="26"/>
      <c r="L20" s="3"/>
      <c r="M20" s="89"/>
      <c r="N20" s="90"/>
      <c r="O20" s="90"/>
      <c r="P20" s="90"/>
      <c r="Q20" s="90"/>
      <c r="R20" s="90"/>
      <c r="S20" s="90"/>
      <c r="T20" s="90"/>
      <c r="U20" s="90"/>
      <c r="V20" s="90"/>
      <c r="W20" s="90"/>
    </row>
    <row r="21" spans="1:23" s="1" customFormat="1" ht="35.049999999999997" customHeight="1" x14ac:dyDescent="0.3">
      <c r="A21" s="10" t="s">
        <v>751</v>
      </c>
      <c r="B21" s="26" t="s">
        <v>940</v>
      </c>
      <c r="C21" s="395">
        <v>0</v>
      </c>
      <c r="D21" s="481">
        <v>4.5359999999999996</v>
      </c>
      <c r="E21" s="478">
        <v>0.99399999999999999</v>
      </c>
      <c r="F21" s="479">
        <v>8.3000000000000004E-2</v>
      </c>
      <c r="G21" s="480">
        <v>208.58</v>
      </c>
      <c r="H21" s="480">
        <v>3.26</v>
      </c>
      <c r="I21" s="485">
        <v>6.18</v>
      </c>
      <c r="J21" s="475">
        <v>0.154</v>
      </c>
      <c r="K21" s="26" t="s">
        <v>603</v>
      </c>
      <c r="L21" s="3"/>
      <c r="M21" s="90"/>
      <c r="N21" s="90"/>
      <c r="O21" s="90"/>
      <c r="P21" s="90"/>
      <c r="Q21" s="90"/>
      <c r="R21" s="90"/>
      <c r="S21" s="90"/>
      <c r="T21" s="90"/>
      <c r="U21" s="90"/>
      <c r="V21" s="90"/>
      <c r="W21" s="90"/>
    </row>
    <row r="22" spans="1:23" ht="35.049999999999997" customHeight="1" x14ac:dyDescent="0.3">
      <c r="A22" s="10" t="s">
        <v>752</v>
      </c>
      <c r="B22" s="26" t="s">
        <v>941</v>
      </c>
      <c r="C22" s="395">
        <v>0</v>
      </c>
      <c r="D22" s="481">
        <v>4.5359999999999996</v>
      </c>
      <c r="E22" s="478">
        <v>0.99399999999999999</v>
      </c>
      <c r="F22" s="479">
        <v>8.3000000000000004E-2</v>
      </c>
      <c r="G22" s="480">
        <v>357.56</v>
      </c>
      <c r="H22" s="480">
        <v>3.26</v>
      </c>
      <c r="I22" s="485">
        <v>6.18</v>
      </c>
      <c r="J22" s="475">
        <v>0.154</v>
      </c>
      <c r="K22" s="26"/>
      <c r="M22" s="89"/>
      <c r="N22" s="90"/>
      <c r="O22" s="90"/>
      <c r="P22" s="90"/>
      <c r="Q22" s="90"/>
      <c r="R22" s="90"/>
      <c r="S22" s="90"/>
      <c r="T22" s="90"/>
      <c r="U22" s="90"/>
      <c r="V22" s="90"/>
      <c r="W22" s="90"/>
    </row>
    <row r="23" spans="1:23" s="1" customFormat="1" ht="35.049999999999997" customHeight="1" x14ac:dyDescent="0.3">
      <c r="A23" s="10" t="s">
        <v>753</v>
      </c>
      <c r="B23" s="26" t="s">
        <v>942</v>
      </c>
      <c r="C23" s="395">
        <v>0</v>
      </c>
      <c r="D23" s="481">
        <v>4.5359999999999996</v>
      </c>
      <c r="E23" s="478">
        <v>0.99399999999999999</v>
      </c>
      <c r="F23" s="479">
        <v>8.3000000000000004E-2</v>
      </c>
      <c r="G23" s="480">
        <v>567.94000000000005</v>
      </c>
      <c r="H23" s="480">
        <v>3.26</v>
      </c>
      <c r="I23" s="485">
        <v>6.18</v>
      </c>
      <c r="J23" s="475">
        <v>0.154</v>
      </c>
      <c r="K23" s="26"/>
      <c r="L23" s="3"/>
      <c r="M23" s="90"/>
      <c r="N23" s="90"/>
      <c r="O23" s="90"/>
      <c r="P23" s="90"/>
      <c r="Q23" s="90"/>
      <c r="R23" s="90"/>
      <c r="S23" s="90"/>
      <c r="T23" s="90"/>
      <c r="U23" s="90"/>
      <c r="V23" s="90"/>
      <c r="W23" s="90"/>
    </row>
    <row r="24" spans="1:23" s="1" customFormat="1" ht="35.049999999999997" customHeight="1" x14ac:dyDescent="0.3">
      <c r="A24" s="10" t="s">
        <v>754</v>
      </c>
      <c r="B24" s="26" t="s">
        <v>943</v>
      </c>
      <c r="C24" s="395">
        <v>0</v>
      </c>
      <c r="D24" s="481">
        <v>4.5359999999999996</v>
      </c>
      <c r="E24" s="478">
        <v>0.99399999999999999</v>
      </c>
      <c r="F24" s="479">
        <v>8.3000000000000004E-2</v>
      </c>
      <c r="G24" s="480">
        <v>1144.0999999999999</v>
      </c>
      <c r="H24" s="480">
        <v>3.26</v>
      </c>
      <c r="I24" s="485">
        <v>6.18</v>
      </c>
      <c r="J24" s="475">
        <v>0.154</v>
      </c>
      <c r="K24" s="26"/>
      <c r="L24" s="3"/>
      <c r="M24" s="89"/>
      <c r="N24" s="90"/>
      <c r="O24" s="90"/>
      <c r="P24" s="90"/>
      <c r="Q24" s="90"/>
      <c r="R24" s="90"/>
      <c r="S24" s="90"/>
      <c r="T24" s="90"/>
      <c r="U24" s="90"/>
      <c r="V24" s="90"/>
      <c r="W24" s="90"/>
    </row>
    <row r="25" spans="1:23" ht="35.049999999999997" customHeight="1" x14ac:dyDescent="0.3">
      <c r="A25" s="10" t="s">
        <v>755</v>
      </c>
      <c r="B25" s="392" t="s">
        <v>480</v>
      </c>
      <c r="C25" s="395">
        <v>0</v>
      </c>
      <c r="D25" s="481">
        <v>2.8239999999999998</v>
      </c>
      <c r="E25" s="478">
        <v>0.57599999999999996</v>
      </c>
      <c r="F25" s="479">
        <v>4.7E-2</v>
      </c>
      <c r="G25" s="480">
        <v>10.35</v>
      </c>
      <c r="H25" s="480">
        <v>3.88</v>
      </c>
      <c r="I25" s="485">
        <v>5.73</v>
      </c>
      <c r="J25" s="475">
        <v>0.107</v>
      </c>
      <c r="K25" s="26"/>
      <c r="M25" s="90"/>
      <c r="N25" s="90"/>
      <c r="O25" s="90"/>
      <c r="P25" s="90"/>
      <c r="Q25" s="90"/>
      <c r="R25" s="90"/>
      <c r="S25" s="90"/>
      <c r="T25" s="90"/>
      <c r="U25" s="90"/>
      <c r="V25" s="90"/>
      <c r="W25" s="90"/>
    </row>
    <row r="26" spans="1:23" s="1" customFormat="1" ht="35.049999999999997" customHeight="1" x14ac:dyDescent="0.3">
      <c r="A26" s="10" t="s">
        <v>756</v>
      </c>
      <c r="B26" s="392" t="s">
        <v>480</v>
      </c>
      <c r="C26" s="395">
        <v>0</v>
      </c>
      <c r="D26" s="481">
        <v>2.8239999999999998</v>
      </c>
      <c r="E26" s="478">
        <v>0.57599999999999996</v>
      </c>
      <c r="F26" s="479">
        <v>4.7E-2</v>
      </c>
      <c r="G26" s="480">
        <v>205.73</v>
      </c>
      <c r="H26" s="480">
        <v>3.88</v>
      </c>
      <c r="I26" s="485">
        <v>5.73</v>
      </c>
      <c r="J26" s="475">
        <v>0.107</v>
      </c>
      <c r="K26" s="26" t="s">
        <v>603</v>
      </c>
      <c r="L26" s="3"/>
      <c r="M26" s="89"/>
      <c r="N26" s="90"/>
      <c r="O26" s="90"/>
      <c r="P26" s="90"/>
      <c r="Q26" s="90"/>
      <c r="R26" s="90"/>
      <c r="S26" s="90"/>
      <c r="T26" s="90"/>
      <c r="U26" s="90"/>
      <c r="V26" s="90"/>
      <c r="W26" s="90"/>
    </row>
    <row r="27" spans="1:23" s="1" customFormat="1" ht="35.049999999999997" customHeight="1" x14ac:dyDescent="0.3">
      <c r="A27" s="10" t="s">
        <v>757</v>
      </c>
      <c r="B27" s="392" t="s">
        <v>480</v>
      </c>
      <c r="C27" s="395">
        <v>0</v>
      </c>
      <c r="D27" s="481">
        <v>2.8239999999999998</v>
      </c>
      <c r="E27" s="478">
        <v>0.57599999999999996</v>
      </c>
      <c r="F27" s="479">
        <v>4.7E-2</v>
      </c>
      <c r="G27" s="480">
        <v>354.72</v>
      </c>
      <c r="H27" s="480">
        <v>3.88</v>
      </c>
      <c r="I27" s="485">
        <v>5.73</v>
      </c>
      <c r="J27" s="475">
        <v>0.107</v>
      </c>
      <c r="K27" s="26"/>
      <c r="L27" s="3"/>
      <c r="M27" s="90"/>
      <c r="N27" s="90"/>
      <c r="O27" s="90"/>
      <c r="P27" s="90"/>
      <c r="Q27" s="90"/>
      <c r="R27" s="90"/>
      <c r="S27" s="90"/>
      <c r="T27" s="90"/>
      <c r="U27" s="90"/>
      <c r="V27" s="90"/>
      <c r="W27" s="90"/>
    </row>
    <row r="28" spans="1:23" s="1" customFormat="1" ht="35.049999999999997" customHeight="1" x14ac:dyDescent="0.3">
      <c r="A28" s="10" t="s">
        <v>758</v>
      </c>
      <c r="B28" s="392" t="s">
        <v>480</v>
      </c>
      <c r="C28" s="395">
        <v>0</v>
      </c>
      <c r="D28" s="481">
        <v>2.8239999999999998</v>
      </c>
      <c r="E28" s="478">
        <v>0.57599999999999996</v>
      </c>
      <c r="F28" s="479">
        <v>4.7E-2</v>
      </c>
      <c r="G28" s="480">
        <v>565.09</v>
      </c>
      <c r="H28" s="480">
        <v>3.88</v>
      </c>
      <c r="I28" s="485">
        <v>5.73</v>
      </c>
      <c r="J28" s="475">
        <v>0.107</v>
      </c>
      <c r="K28" s="26"/>
      <c r="L28" s="3"/>
      <c r="M28" s="89"/>
      <c r="N28" s="90"/>
      <c r="O28" s="90"/>
      <c r="P28" s="90"/>
      <c r="Q28" s="90"/>
      <c r="R28" s="90"/>
      <c r="S28" s="90"/>
      <c r="T28" s="90"/>
      <c r="U28" s="90"/>
      <c r="V28" s="90"/>
      <c r="W28" s="90"/>
    </row>
    <row r="29" spans="1:23" ht="35.049999999999997" customHeight="1" x14ac:dyDescent="0.3">
      <c r="A29" s="10" t="s">
        <v>759</v>
      </c>
      <c r="B29" s="392" t="s">
        <v>480</v>
      </c>
      <c r="C29" s="395">
        <v>0</v>
      </c>
      <c r="D29" s="481">
        <v>2.8239999999999998</v>
      </c>
      <c r="E29" s="478">
        <v>0.57599999999999996</v>
      </c>
      <c r="F29" s="479">
        <v>4.7E-2</v>
      </c>
      <c r="G29" s="480">
        <v>1141.25</v>
      </c>
      <c r="H29" s="480">
        <v>3.88</v>
      </c>
      <c r="I29" s="485">
        <v>5.73</v>
      </c>
      <c r="J29" s="475">
        <v>0.107</v>
      </c>
      <c r="K29" s="26"/>
      <c r="M29" s="90"/>
      <c r="N29" s="90"/>
      <c r="O29" s="90"/>
      <c r="P29" s="90"/>
      <c r="Q29" s="90"/>
      <c r="R29" s="90"/>
      <c r="S29" s="90"/>
      <c r="T29" s="90"/>
      <c r="U29" s="90"/>
      <c r="V29" s="90"/>
      <c r="W29" s="90"/>
    </row>
    <row r="30" spans="1:23" s="1" customFormat="1" ht="35.049999999999997" customHeight="1" x14ac:dyDescent="0.3">
      <c r="A30" s="10" t="s">
        <v>760</v>
      </c>
      <c r="B30" s="387" t="s">
        <v>944</v>
      </c>
      <c r="C30" s="395">
        <v>0</v>
      </c>
      <c r="D30" s="481">
        <v>1.756</v>
      </c>
      <c r="E30" s="478">
        <v>0.314</v>
      </c>
      <c r="F30" s="479">
        <v>2.5000000000000001E-2</v>
      </c>
      <c r="G30" s="480">
        <v>93.74</v>
      </c>
      <c r="H30" s="480">
        <v>4.7</v>
      </c>
      <c r="I30" s="485">
        <v>6.66</v>
      </c>
      <c r="J30" s="475">
        <v>5.3999999999999999E-2</v>
      </c>
      <c r="K30" s="26"/>
      <c r="L30" s="3"/>
      <c r="M30" s="89"/>
      <c r="N30" s="90"/>
      <c r="O30" s="90"/>
      <c r="P30" s="90"/>
      <c r="Q30" s="90"/>
      <c r="R30" s="90"/>
      <c r="S30" s="90"/>
      <c r="T30" s="90"/>
      <c r="U30" s="90"/>
      <c r="V30" s="90"/>
      <c r="W30" s="90"/>
    </row>
    <row r="31" spans="1:23" ht="35.049999999999997" customHeight="1" x14ac:dyDescent="0.3">
      <c r="A31" s="10" t="s">
        <v>761</v>
      </c>
      <c r="B31" s="26" t="s">
        <v>945</v>
      </c>
      <c r="C31" s="395">
        <v>0</v>
      </c>
      <c r="D31" s="481">
        <v>1.756</v>
      </c>
      <c r="E31" s="478">
        <v>0.314</v>
      </c>
      <c r="F31" s="479">
        <v>2.5000000000000001E-2</v>
      </c>
      <c r="G31" s="480">
        <v>1004.42</v>
      </c>
      <c r="H31" s="480">
        <v>4.7</v>
      </c>
      <c r="I31" s="485">
        <v>6.66</v>
      </c>
      <c r="J31" s="475">
        <v>5.3999999999999999E-2</v>
      </c>
      <c r="K31" s="26" t="s">
        <v>480</v>
      </c>
      <c r="M31" s="90"/>
      <c r="N31" s="90"/>
      <c r="O31" s="90"/>
      <c r="P31" s="90"/>
      <c r="Q31" s="90"/>
      <c r="R31" s="90"/>
      <c r="S31" s="90"/>
      <c r="T31" s="90"/>
      <c r="U31" s="90"/>
      <c r="V31" s="90"/>
      <c r="W31" s="90"/>
    </row>
    <row r="32" spans="1:23" ht="35.049999999999997" customHeight="1" x14ac:dyDescent="0.3">
      <c r="A32" s="10" t="s">
        <v>762</v>
      </c>
      <c r="B32" s="26" t="s">
        <v>946</v>
      </c>
      <c r="C32" s="395">
        <v>0</v>
      </c>
      <c r="D32" s="481">
        <v>1.756</v>
      </c>
      <c r="E32" s="478">
        <v>0.314</v>
      </c>
      <c r="F32" s="479">
        <v>2.5000000000000001E-2</v>
      </c>
      <c r="G32" s="480">
        <v>2976.4</v>
      </c>
      <c r="H32" s="480">
        <v>4.7</v>
      </c>
      <c r="I32" s="485">
        <v>6.66</v>
      </c>
      <c r="J32" s="475">
        <v>5.3999999999999999E-2</v>
      </c>
      <c r="K32" s="26"/>
      <c r="M32" s="89"/>
      <c r="N32" s="90"/>
      <c r="O32" s="90"/>
      <c r="P32" s="90"/>
      <c r="Q32" s="90"/>
      <c r="R32" s="90"/>
      <c r="S32" s="90"/>
      <c r="T32" s="90"/>
      <c r="U32" s="90"/>
      <c r="V32" s="90"/>
      <c r="W32" s="90"/>
    </row>
    <row r="33" spans="1:23" ht="35.049999999999997" customHeight="1" x14ac:dyDescent="0.3">
      <c r="A33" s="10" t="s">
        <v>763</v>
      </c>
      <c r="B33" s="26" t="s">
        <v>947</v>
      </c>
      <c r="C33" s="395">
        <v>0</v>
      </c>
      <c r="D33" s="481">
        <v>1.756</v>
      </c>
      <c r="E33" s="478">
        <v>0.314</v>
      </c>
      <c r="F33" s="479">
        <v>2.5000000000000001E-2</v>
      </c>
      <c r="G33" s="480">
        <v>6736.01</v>
      </c>
      <c r="H33" s="480">
        <v>4.7</v>
      </c>
      <c r="I33" s="485">
        <v>6.66</v>
      </c>
      <c r="J33" s="475">
        <v>5.3999999999999999E-2</v>
      </c>
      <c r="K33" s="26"/>
      <c r="M33" s="90"/>
      <c r="N33" s="90"/>
      <c r="O33" s="90"/>
      <c r="P33" s="90"/>
      <c r="Q33" s="90"/>
      <c r="R33" s="90"/>
      <c r="S33" s="90"/>
      <c r="T33" s="90"/>
      <c r="U33" s="90"/>
      <c r="V33" s="90"/>
      <c r="W33" s="90"/>
    </row>
    <row r="34" spans="1:23" ht="35.049999999999997" customHeight="1" x14ac:dyDescent="0.3">
      <c r="A34" s="10" t="s">
        <v>764</v>
      </c>
      <c r="B34" s="26" t="s">
        <v>948</v>
      </c>
      <c r="C34" s="395">
        <v>0</v>
      </c>
      <c r="D34" s="481">
        <v>1.756</v>
      </c>
      <c r="E34" s="478">
        <v>0.314</v>
      </c>
      <c r="F34" s="479">
        <v>2.5000000000000001E-2</v>
      </c>
      <c r="G34" s="480">
        <v>17971.98</v>
      </c>
      <c r="H34" s="480">
        <v>4.7</v>
      </c>
      <c r="I34" s="485">
        <v>6.66</v>
      </c>
      <c r="J34" s="475">
        <v>5.3999999999999999E-2</v>
      </c>
      <c r="K34" s="26"/>
      <c r="M34" s="89"/>
      <c r="N34" s="90"/>
      <c r="O34" s="90"/>
      <c r="P34" s="90"/>
      <c r="Q34" s="90"/>
      <c r="R34" s="90"/>
      <c r="S34" s="90"/>
      <c r="T34" s="90"/>
      <c r="U34" s="90"/>
      <c r="V34" s="90"/>
      <c r="W34" s="90"/>
    </row>
    <row r="35" spans="1:23" ht="35.049999999999997" customHeight="1" x14ac:dyDescent="0.3">
      <c r="A35" s="10" t="s">
        <v>573</v>
      </c>
      <c r="B35" s="387" t="s">
        <v>949</v>
      </c>
      <c r="C35" s="395" t="s">
        <v>616</v>
      </c>
      <c r="D35" s="477">
        <v>17.085000000000001</v>
      </c>
      <c r="E35" s="483">
        <v>2.8969999999999998</v>
      </c>
      <c r="F35" s="479">
        <v>1.6910000000000001</v>
      </c>
      <c r="G35" s="476">
        <v>0</v>
      </c>
      <c r="H35" s="476">
        <v>0</v>
      </c>
      <c r="I35" s="476">
        <v>0</v>
      </c>
      <c r="J35" s="482">
        <v>0</v>
      </c>
      <c r="K35" s="26" t="s">
        <v>603</v>
      </c>
      <c r="M35" s="90"/>
      <c r="N35" s="90"/>
      <c r="O35" s="90"/>
      <c r="P35" s="90"/>
      <c r="Q35" s="90"/>
      <c r="R35" s="90"/>
      <c r="S35" s="90"/>
      <c r="T35" s="90"/>
      <c r="U35" s="90"/>
      <c r="V35" s="90"/>
      <c r="W35" s="90"/>
    </row>
    <row r="36" spans="1:23" ht="35.049999999999997" customHeight="1" x14ac:dyDescent="0.3">
      <c r="A36" s="10" t="s">
        <v>617</v>
      </c>
      <c r="B36" s="27" t="s">
        <v>950</v>
      </c>
      <c r="C36" s="435">
        <v>0</v>
      </c>
      <c r="D36" s="481">
        <v>-3.9630000000000001</v>
      </c>
      <c r="E36" s="478">
        <v>-0.89600000000000002</v>
      </c>
      <c r="F36" s="479">
        <v>-7.4999999999999997E-2</v>
      </c>
      <c r="G36" s="480">
        <v>0</v>
      </c>
      <c r="H36" s="476">
        <v>0</v>
      </c>
      <c r="I36" s="476">
        <v>0</v>
      </c>
      <c r="J36" s="482">
        <v>0</v>
      </c>
      <c r="K36" s="26" t="s">
        <v>603</v>
      </c>
      <c r="M36" s="89"/>
      <c r="N36" s="90"/>
      <c r="O36" s="90"/>
      <c r="P36" s="90"/>
      <c r="Q36" s="90"/>
      <c r="R36" s="90"/>
      <c r="S36" s="90"/>
      <c r="T36" s="90"/>
      <c r="U36" s="90"/>
      <c r="V36" s="90"/>
      <c r="W36" s="90"/>
    </row>
    <row r="37" spans="1:23" ht="35.049999999999997" customHeight="1" x14ac:dyDescent="0.3">
      <c r="A37" s="10" t="s">
        <v>682</v>
      </c>
      <c r="B37" s="392" t="s">
        <v>480</v>
      </c>
      <c r="C37" s="395">
        <v>0</v>
      </c>
      <c r="D37" s="481">
        <v>-3.4670000000000001</v>
      </c>
      <c r="E37" s="478">
        <v>-0.76900000000000002</v>
      </c>
      <c r="F37" s="479">
        <v>-6.4000000000000001E-2</v>
      </c>
      <c r="G37" s="480">
        <v>0</v>
      </c>
      <c r="H37" s="476">
        <v>0</v>
      </c>
      <c r="I37" s="476">
        <v>0</v>
      </c>
      <c r="J37" s="482">
        <v>0</v>
      </c>
      <c r="K37" s="26" t="s">
        <v>603</v>
      </c>
      <c r="M37" s="90"/>
      <c r="N37" s="90"/>
      <c r="O37" s="90"/>
      <c r="P37" s="90"/>
      <c r="Q37" s="90"/>
      <c r="R37" s="90"/>
      <c r="S37" s="90"/>
      <c r="T37" s="90"/>
      <c r="U37" s="90"/>
      <c r="V37" s="90"/>
      <c r="W37" s="90"/>
    </row>
    <row r="38" spans="1:23" ht="35.049999999999997" customHeight="1" x14ac:dyDescent="0.3">
      <c r="A38" s="10" t="s">
        <v>597</v>
      </c>
      <c r="B38" s="27" t="s">
        <v>951</v>
      </c>
      <c r="C38" s="395">
        <v>0</v>
      </c>
      <c r="D38" s="481">
        <v>-3.9630000000000001</v>
      </c>
      <c r="E38" s="478">
        <v>-0.89600000000000002</v>
      </c>
      <c r="F38" s="479">
        <v>-7.4999999999999997E-2</v>
      </c>
      <c r="G38" s="480">
        <v>0</v>
      </c>
      <c r="H38" s="476">
        <v>0</v>
      </c>
      <c r="I38" s="476">
        <v>0</v>
      </c>
      <c r="J38" s="475">
        <v>0.152</v>
      </c>
      <c r="K38" s="26" t="s">
        <v>603</v>
      </c>
      <c r="M38" s="89"/>
      <c r="N38" s="90"/>
      <c r="O38" s="90"/>
      <c r="P38" s="90"/>
      <c r="Q38" s="90"/>
      <c r="R38" s="90"/>
      <c r="S38" s="90"/>
      <c r="T38" s="90"/>
      <c r="U38" s="90"/>
      <c r="V38" s="90"/>
      <c r="W38" s="90"/>
    </row>
    <row r="39" spans="1:23" ht="35.049999999999997" customHeight="1" x14ac:dyDescent="0.3">
      <c r="A39" s="10" t="s">
        <v>683</v>
      </c>
      <c r="B39" s="392" t="s">
        <v>480</v>
      </c>
      <c r="C39" s="395">
        <v>0</v>
      </c>
      <c r="D39" s="481">
        <v>-3.9630000000000001</v>
      </c>
      <c r="E39" s="478">
        <v>-0.89600000000000002</v>
      </c>
      <c r="F39" s="479">
        <v>-7.4999999999999997E-2</v>
      </c>
      <c r="G39" s="480">
        <v>0</v>
      </c>
      <c r="H39" s="476">
        <v>0</v>
      </c>
      <c r="I39" s="476">
        <v>0</v>
      </c>
      <c r="J39" s="482">
        <v>0</v>
      </c>
      <c r="K39" s="26" t="s">
        <v>603</v>
      </c>
      <c r="M39" s="90"/>
      <c r="N39" s="90"/>
      <c r="O39" s="90"/>
      <c r="P39" s="90"/>
      <c r="Q39" s="90"/>
      <c r="R39" s="90"/>
      <c r="S39" s="90"/>
      <c r="T39" s="90"/>
      <c r="U39" s="90"/>
      <c r="V39" s="90"/>
      <c r="W39" s="90"/>
    </row>
    <row r="40" spans="1:23" ht="35.049999999999997" customHeight="1" x14ac:dyDescent="0.3">
      <c r="A40" s="10" t="s">
        <v>684</v>
      </c>
      <c r="B40" s="392" t="s">
        <v>480</v>
      </c>
      <c r="C40" s="395">
        <v>0</v>
      </c>
      <c r="D40" s="481">
        <v>-3.4670000000000001</v>
      </c>
      <c r="E40" s="478">
        <v>-0.76900000000000002</v>
      </c>
      <c r="F40" s="479">
        <v>-6.4000000000000001E-2</v>
      </c>
      <c r="G40" s="480">
        <v>0</v>
      </c>
      <c r="H40" s="476">
        <v>0</v>
      </c>
      <c r="I40" s="476">
        <v>0</v>
      </c>
      <c r="J40" s="475">
        <v>0.126</v>
      </c>
      <c r="K40" s="26" t="s">
        <v>603</v>
      </c>
      <c r="M40" s="89"/>
      <c r="N40" s="90"/>
      <c r="O40" s="90"/>
      <c r="P40" s="90"/>
      <c r="Q40" s="90"/>
      <c r="R40" s="90"/>
      <c r="S40" s="90"/>
      <c r="T40" s="90"/>
      <c r="U40" s="90"/>
      <c r="V40" s="90"/>
      <c r="W40" s="90"/>
    </row>
    <row r="41" spans="1:23" ht="35.049999999999997" customHeight="1" x14ac:dyDescent="0.3">
      <c r="A41" s="10" t="s">
        <v>685</v>
      </c>
      <c r="B41" s="392" t="s">
        <v>480</v>
      </c>
      <c r="C41" s="395">
        <v>0</v>
      </c>
      <c r="D41" s="481">
        <v>-3.4670000000000001</v>
      </c>
      <c r="E41" s="478">
        <v>-0.76900000000000002</v>
      </c>
      <c r="F41" s="479">
        <v>-6.4000000000000001E-2</v>
      </c>
      <c r="G41" s="480">
        <v>0</v>
      </c>
      <c r="H41" s="476">
        <v>0</v>
      </c>
      <c r="I41" s="476">
        <v>0</v>
      </c>
      <c r="J41" s="482">
        <v>0</v>
      </c>
      <c r="K41" s="26" t="s">
        <v>603</v>
      </c>
      <c r="M41" s="90"/>
      <c r="N41" s="90"/>
      <c r="O41" s="90"/>
      <c r="P41" s="90"/>
      <c r="Q41" s="90"/>
      <c r="R41" s="90"/>
      <c r="S41" s="90"/>
      <c r="T41" s="90"/>
      <c r="U41" s="90"/>
      <c r="V41" s="90"/>
      <c r="W41" s="90"/>
    </row>
    <row r="42" spans="1:23" ht="35.049999999999997" customHeight="1" x14ac:dyDescent="0.3">
      <c r="A42" s="10" t="s">
        <v>598</v>
      </c>
      <c r="B42" s="26" t="s">
        <v>952</v>
      </c>
      <c r="C42" s="395">
        <v>0</v>
      </c>
      <c r="D42" s="481">
        <v>-2.2410000000000001</v>
      </c>
      <c r="E42" s="478">
        <v>-0.44900000000000001</v>
      </c>
      <c r="F42" s="479">
        <v>-3.6999999999999998E-2</v>
      </c>
      <c r="G42" s="480">
        <v>58.53</v>
      </c>
      <c r="H42" s="476">
        <v>0</v>
      </c>
      <c r="I42" s="476">
        <v>0</v>
      </c>
      <c r="J42" s="475">
        <v>0.10100000000000001</v>
      </c>
      <c r="K42" s="26" t="s">
        <v>603</v>
      </c>
      <c r="M42" s="89"/>
      <c r="N42" s="90"/>
      <c r="O42" s="90"/>
      <c r="P42" s="90"/>
      <c r="Q42" s="90"/>
      <c r="R42" s="90"/>
      <c r="S42" s="90"/>
      <c r="T42" s="90"/>
      <c r="U42" s="90"/>
      <c r="V42" s="90"/>
      <c r="W42" s="90"/>
    </row>
    <row r="43" spans="1:23" ht="35.049999999999997" customHeight="1" x14ac:dyDescent="0.3">
      <c r="A43" s="10" t="s">
        <v>681</v>
      </c>
      <c r="B43" s="392" t="s">
        <v>480</v>
      </c>
      <c r="C43" s="395">
        <v>0</v>
      </c>
      <c r="D43" s="481">
        <v>-2.2410000000000001</v>
      </c>
      <c r="E43" s="478">
        <v>-0.44900000000000001</v>
      </c>
      <c r="F43" s="479">
        <v>-3.6999999999999998E-2</v>
      </c>
      <c r="G43" s="480">
        <v>58.53</v>
      </c>
      <c r="H43" s="476">
        <v>0</v>
      </c>
      <c r="I43" s="476">
        <v>0</v>
      </c>
      <c r="J43" s="482">
        <v>0</v>
      </c>
      <c r="K43" s="26" t="s">
        <v>603</v>
      </c>
      <c r="M43" s="90"/>
      <c r="N43" s="90"/>
      <c r="O43" s="90"/>
      <c r="P43" s="90"/>
      <c r="Q43" s="90"/>
      <c r="R43" s="90"/>
      <c r="S43" s="90"/>
      <c r="T43" s="90"/>
      <c r="U43" s="90"/>
      <c r="V43" s="90"/>
      <c r="W43" s="90"/>
    </row>
    <row r="44" spans="1:23" ht="27.75" customHeight="1" x14ac:dyDescent="0.3">
      <c r="A44" s="376"/>
      <c r="B44" s="384"/>
      <c r="C44" s="377"/>
      <c r="D44" s="378"/>
      <c r="E44" s="379"/>
      <c r="F44" s="378"/>
      <c r="G44" s="380"/>
      <c r="H44" s="380"/>
      <c r="I44" s="385"/>
      <c r="J44" s="386"/>
      <c r="K44" s="383"/>
      <c r="M44" s="89"/>
      <c r="N44" s="90"/>
      <c r="O44" s="90"/>
      <c r="P44" s="90"/>
      <c r="Q44" s="90"/>
      <c r="R44" s="90"/>
      <c r="S44" s="90"/>
      <c r="T44" s="90"/>
      <c r="U44" s="90"/>
      <c r="V44" s="90"/>
      <c r="W44" s="90"/>
    </row>
    <row r="45" spans="1:23" ht="27.75" customHeight="1" x14ac:dyDescent="0.3">
      <c r="A45" s="376"/>
      <c r="B45" s="384"/>
      <c r="C45" s="377"/>
      <c r="D45" s="378"/>
      <c r="E45" s="379"/>
      <c r="F45" s="378"/>
      <c r="G45" s="380"/>
      <c r="H45" s="380"/>
      <c r="I45" s="385"/>
      <c r="J45" s="386"/>
      <c r="K45" s="383"/>
    </row>
    <row r="46" spans="1:23" ht="27.75" customHeight="1" x14ac:dyDescent="0.3">
      <c r="A46" s="376"/>
      <c r="B46" s="384"/>
      <c r="C46" s="377"/>
      <c r="D46" s="378"/>
      <c r="E46" s="379"/>
      <c r="F46" s="378"/>
      <c r="G46" s="380"/>
      <c r="H46" s="380"/>
      <c r="I46" s="385"/>
      <c r="J46" s="386"/>
      <c r="K46" s="383"/>
    </row>
    <row r="47" spans="1:23" ht="27.75" customHeight="1" x14ac:dyDescent="0.3">
      <c r="A47" s="376"/>
      <c r="B47" s="384"/>
      <c r="C47" s="377"/>
      <c r="D47" s="386"/>
      <c r="E47" s="382"/>
      <c r="F47" s="382"/>
      <c r="G47" s="381"/>
      <c r="H47" s="381"/>
      <c r="I47" s="381"/>
      <c r="J47" s="382"/>
      <c r="K47" s="383"/>
    </row>
    <row r="48" spans="1:23" ht="27.75" customHeight="1" x14ac:dyDescent="0.3">
      <c r="A48" s="376"/>
      <c r="B48" s="384"/>
      <c r="C48" s="377"/>
      <c r="D48" s="386"/>
      <c r="E48" s="382"/>
      <c r="F48" s="382"/>
      <c r="G48" s="381"/>
      <c r="H48" s="381"/>
      <c r="I48" s="381"/>
      <c r="J48" s="382"/>
      <c r="K48" s="383"/>
    </row>
    <row r="49" spans="1:11" ht="27.75" customHeight="1" x14ac:dyDescent="0.3">
      <c r="A49" s="376"/>
      <c r="B49" s="384"/>
      <c r="C49" s="377"/>
      <c r="D49" s="386"/>
      <c r="E49" s="382"/>
      <c r="F49" s="382"/>
      <c r="G49" s="381"/>
      <c r="H49" s="381"/>
      <c r="I49" s="381"/>
      <c r="J49" s="382"/>
      <c r="K49" s="383"/>
    </row>
    <row r="50" spans="1:11" ht="27.75" customHeight="1" x14ac:dyDescent="0.3">
      <c r="A50" s="376"/>
      <c r="B50" s="384"/>
      <c r="C50" s="377"/>
      <c r="D50" s="386"/>
      <c r="E50" s="382"/>
      <c r="F50" s="382"/>
      <c r="G50" s="381"/>
      <c r="H50" s="381"/>
      <c r="I50" s="381"/>
      <c r="J50" s="382"/>
      <c r="K50" s="383"/>
    </row>
    <row r="51" spans="1:11" ht="27.75" customHeight="1" x14ac:dyDescent="0.3">
      <c r="A51" s="376"/>
      <c r="B51" s="384"/>
      <c r="C51" s="377"/>
      <c r="D51" s="378"/>
      <c r="E51" s="379"/>
      <c r="F51" s="378"/>
      <c r="G51" s="381"/>
      <c r="H51" s="381"/>
      <c r="I51" s="381"/>
      <c r="J51" s="382"/>
      <c r="K51" s="383"/>
    </row>
    <row r="52" spans="1:11" ht="27.75" customHeight="1" x14ac:dyDescent="0.3">
      <c r="A52" s="1"/>
      <c r="B52" s="2"/>
      <c r="C52" s="1"/>
      <c r="D52" s="1"/>
      <c r="E52" s="2"/>
      <c r="F52" s="2"/>
      <c r="G52" s="2"/>
      <c r="H52" s="6"/>
      <c r="I52" s="6"/>
      <c r="J52" s="4"/>
      <c r="K52" s="5"/>
    </row>
    <row r="53" spans="1:11" ht="27.75" customHeight="1" x14ac:dyDescent="0.3">
      <c r="A53" s="1"/>
      <c r="B53" s="2"/>
      <c r="C53" s="1"/>
      <c r="D53" s="1"/>
      <c r="E53" s="2"/>
      <c r="F53" s="2"/>
      <c r="G53" s="2"/>
      <c r="H53" s="6"/>
      <c r="I53" s="6"/>
      <c r="J53" s="4"/>
      <c r="K53" s="5"/>
    </row>
    <row r="54" spans="1:11" ht="27.75" customHeight="1" x14ac:dyDescent="0.3">
      <c r="A54" s="1"/>
      <c r="B54" s="2"/>
      <c r="C54" s="1"/>
      <c r="D54" s="1"/>
      <c r="E54" s="2"/>
      <c r="F54" s="2"/>
      <c r="G54" s="2"/>
      <c r="H54" s="6"/>
      <c r="I54" s="6"/>
      <c r="J54" s="4"/>
      <c r="K54" s="5"/>
    </row>
    <row r="55" spans="1:11" ht="27.75" customHeight="1" x14ac:dyDescent="0.3">
      <c r="A55" s="1"/>
      <c r="B55" s="2"/>
      <c r="C55" s="1"/>
      <c r="D55" s="1"/>
      <c r="E55" s="2"/>
      <c r="F55" s="2"/>
      <c r="G55" s="2"/>
      <c r="H55" s="6"/>
      <c r="I55" s="6"/>
      <c r="J55" s="4"/>
      <c r="K55" s="5"/>
    </row>
    <row r="56" spans="1:11" ht="27.75" customHeight="1" x14ac:dyDescent="0.3">
      <c r="A56" s="1"/>
      <c r="B56" s="2"/>
      <c r="C56" s="1"/>
      <c r="D56" s="1"/>
      <c r="E56" s="2"/>
      <c r="F56" s="2"/>
      <c r="G56" s="2"/>
      <c r="H56" s="6"/>
      <c r="I56" s="6"/>
      <c r="J56" s="4"/>
      <c r="K56" s="5"/>
    </row>
    <row r="57" spans="1:11" ht="27.75" customHeight="1" x14ac:dyDescent="0.3">
      <c r="A57" s="1"/>
      <c r="B57" s="2"/>
      <c r="C57" s="1"/>
      <c r="D57" s="1"/>
      <c r="E57" s="2"/>
      <c r="F57" s="2"/>
      <c r="G57" s="2"/>
      <c r="H57" s="6"/>
      <c r="I57" s="6"/>
      <c r="J57" s="4"/>
      <c r="K57" s="5"/>
    </row>
    <row r="58" spans="1:11" ht="27.75" customHeight="1" x14ac:dyDescent="0.3">
      <c r="A58" s="1"/>
      <c r="B58" s="2"/>
      <c r="C58" s="1"/>
      <c r="D58" s="1"/>
      <c r="E58" s="2"/>
      <c r="F58" s="2"/>
      <c r="G58" s="2"/>
      <c r="H58" s="6"/>
      <c r="I58" s="6"/>
      <c r="J58" s="4"/>
      <c r="K58" s="5"/>
    </row>
    <row r="59" spans="1:11" ht="27.75" customHeight="1" x14ac:dyDescent="0.3">
      <c r="A59" s="1"/>
      <c r="B59" s="2"/>
      <c r="C59" s="1"/>
      <c r="D59" s="1"/>
      <c r="E59" s="2"/>
      <c r="F59" s="2"/>
      <c r="G59" s="2"/>
      <c r="H59" s="6"/>
      <c r="I59" s="6"/>
      <c r="J59" s="4"/>
      <c r="K59" s="5"/>
    </row>
    <row r="60" spans="1:11" ht="27.75" customHeight="1" x14ac:dyDescent="0.3">
      <c r="A60" s="1"/>
      <c r="B60" s="2"/>
      <c r="C60" s="1"/>
      <c r="D60" s="1"/>
      <c r="E60" s="2"/>
      <c r="F60" s="2"/>
      <c r="G60" s="2"/>
      <c r="H60" s="6"/>
      <c r="I60" s="6"/>
      <c r="J60" s="4"/>
      <c r="K60" s="5"/>
    </row>
    <row r="61" spans="1:11" ht="27.75" customHeight="1" x14ac:dyDescent="0.3">
      <c r="A61" s="1"/>
      <c r="B61" s="2"/>
      <c r="C61" s="1"/>
      <c r="D61" s="1"/>
      <c r="E61" s="2"/>
      <c r="F61" s="2"/>
      <c r="G61" s="2"/>
      <c r="H61" s="6"/>
      <c r="I61" s="6"/>
      <c r="J61" s="4"/>
      <c r="K61" s="5"/>
    </row>
  </sheetData>
  <mergeCells count="17">
    <mergeCell ref="C5:D5"/>
    <mergeCell ref="G5:H5"/>
    <mergeCell ref="E1:K1"/>
    <mergeCell ref="A2:K2"/>
    <mergeCell ref="A4:E4"/>
    <mergeCell ref="G4:K4"/>
    <mergeCell ref="C9:D9"/>
    <mergeCell ref="G9:H9"/>
    <mergeCell ref="I9:K9"/>
    <mergeCell ref="B10:E10"/>
    <mergeCell ref="G10:H10"/>
    <mergeCell ref="C6:D6"/>
    <mergeCell ref="G6:H6"/>
    <mergeCell ref="C7:D7"/>
    <mergeCell ref="G7:H7"/>
    <mergeCell ref="B8:E8"/>
    <mergeCell ref="G8:H8"/>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45"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7477-D9D1-4639-AE84-BDFA454DF110}">
  <sheetPr codeName="Sheet32">
    <pageSetUpPr fitToPage="1"/>
  </sheetPr>
  <dimension ref="A1:N201"/>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0" t="s">
        <v>19</v>
      </c>
      <c r="B1" s="45"/>
      <c r="C1" s="45"/>
      <c r="D1" s="45"/>
      <c r="F1" s="45"/>
      <c r="G1" s="45"/>
      <c r="H1" s="45"/>
      <c r="I1" s="3"/>
      <c r="J1" s="1"/>
      <c r="K1" s="1"/>
    </row>
    <row r="2" spans="1:14" ht="40" customHeight="1" x14ac:dyDescent="0.3">
      <c r="A2" s="612" t="str">
        <f>Overview!B4&amp;" - Effective from "&amp;Overview!D4&amp;" - Final LDNO tariffs in SP Distribution Area (GSP Group _N)"</f>
        <v>Indigo Power Limited - Effective from 1 April 2023 - Final LDNO tariffs in SP Distribution Area (GSP Group _N)</v>
      </c>
      <c r="B2" s="612"/>
      <c r="C2" s="612"/>
      <c r="D2" s="612"/>
      <c r="E2" s="612"/>
      <c r="F2" s="612"/>
      <c r="G2" s="612"/>
      <c r="H2" s="612"/>
      <c r="I2" s="612"/>
      <c r="J2" s="612"/>
    </row>
    <row r="3" spans="1:14" ht="40" customHeight="1" x14ac:dyDescent="0.3">
      <c r="A3" s="48"/>
      <c r="B3" s="48"/>
      <c r="C3" s="48"/>
      <c r="D3" s="48"/>
      <c r="E3" s="48"/>
      <c r="F3" s="48"/>
      <c r="G3" s="48"/>
      <c r="H3" s="48"/>
      <c r="I3" s="48"/>
      <c r="J3" s="48"/>
      <c r="L3" s="3"/>
    </row>
    <row r="4" spans="1:14" ht="40" customHeight="1" x14ac:dyDescent="0.3">
      <c r="A4" s="552" t="s">
        <v>308</v>
      </c>
      <c r="B4" s="552"/>
      <c r="C4" s="552"/>
      <c r="D4" s="552"/>
      <c r="E4" s="52"/>
      <c r="F4" s="552" t="s">
        <v>307</v>
      </c>
      <c r="G4" s="552"/>
      <c r="H4" s="552"/>
      <c r="I4" s="552"/>
      <c r="J4" s="552"/>
      <c r="L4" s="3"/>
      <c r="M4" s="3"/>
    </row>
    <row r="5" spans="1:14" ht="40" customHeight="1" x14ac:dyDescent="0.3">
      <c r="A5" s="468" t="s">
        <v>13</v>
      </c>
      <c r="B5" s="315" t="s">
        <v>299</v>
      </c>
      <c r="C5" s="286" t="s">
        <v>300</v>
      </c>
      <c r="D5" s="42" t="s">
        <v>301</v>
      </c>
      <c r="E5" s="45"/>
      <c r="F5" s="549"/>
      <c r="G5" s="550"/>
      <c r="H5" s="43" t="s">
        <v>305</v>
      </c>
      <c r="I5" s="44" t="s">
        <v>306</v>
      </c>
      <c r="J5" s="42" t="s">
        <v>301</v>
      </c>
      <c r="K5" s="45"/>
      <c r="L5" s="45"/>
      <c r="M5" s="3"/>
      <c r="N5" s="3"/>
    </row>
    <row r="6" spans="1:14" ht="40" customHeight="1" x14ac:dyDescent="0.3">
      <c r="A6" s="105" t="str">
        <f>'Annex 1 LV and HV charges_N'!A6</f>
        <v>Monday to Friday 
(Including Bank Holidays)
All Year</v>
      </c>
      <c r="B6" s="95" t="str">
        <f>'Annex 1 LV and HV charges_N'!B6</f>
        <v>16.30 - 19.30</v>
      </c>
      <c r="C6" s="314" t="str">
        <f>'Annex 1 LV and HV charges_N'!C6</f>
        <v>08.00 - 16.30
19.30 - 22.30</v>
      </c>
      <c r="D6" s="96" t="str">
        <f>'Annex 1 LV and HV charges_N'!E6</f>
        <v>00.00 - 08.00
22.30 - 00.00</v>
      </c>
      <c r="E6" s="45"/>
      <c r="F6" s="569" t="str">
        <f>'Annex 1 LV and HV charges_N'!G6</f>
        <v>Monday to Friday 
(Including Bank Holidays)
June to August Inclusive</v>
      </c>
      <c r="G6" s="569" t="str">
        <f>'Annex 1 LV and HV charges_N'!H6</f>
        <v/>
      </c>
      <c r="H6" s="310" t="str">
        <f>'Annex 1 LV and HV charges_N'!I6</f>
        <v/>
      </c>
      <c r="I6" s="309" t="str">
        <f>'Annex 1 LV and HV charges_N'!J6</f>
        <v>08.00 - 22.30</v>
      </c>
      <c r="J6" s="311" t="str">
        <f>'Annex 1 LV and HV charges_N'!K6</f>
        <v>00.00 - 08.00
22.30 - 00.00</v>
      </c>
      <c r="K6" s="45"/>
      <c r="L6" s="45"/>
      <c r="M6" s="3"/>
      <c r="N6" s="3"/>
    </row>
    <row r="7" spans="1:14" ht="40" customHeight="1" x14ac:dyDescent="0.3">
      <c r="A7" s="105" t="str">
        <f>'Annex 1 LV and HV charges_N'!A7</f>
        <v>Saturday and Sunday
All Year</v>
      </c>
      <c r="B7" s="98" t="str">
        <f>'Annex 1 LV and HV charges_N'!B7</f>
        <v/>
      </c>
      <c r="C7" s="280" t="str">
        <f>'Annex 1 LV and HV charges_N'!C7</f>
        <v>16.00 - 20.00</v>
      </c>
      <c r="D7" s="313" t="str">
        <f>'Annex 1 LV and HV charges_N'!E7</f>
        <v>00.00 - 16.00
20.00 - 00.00</v>
      </c>
      <c r="E7" s="45"/>
      <c r="F7" s="569" t="str">
        <f>'Annex 1 LV and HV charges_N'!G7</f>
        <v>Monday to Friday 
(Including Bank Holidays)
November to February Inclusive</v>
      </c>
      <c r="G7" s="569" t="str">
        <f>'Annex 1 LV and HV charges_N'!H7</f>
        <v/>
      </c>
      <c r="H7" s="13" t="str">
        <f>'Annex 1 LV and HV charges_N'!I7</f>
        <v>16.30 - 19.30</v>
      </c>
      <c r="I7" s="309" t="str">
        <f>'Annex 1 LV and HV charges_N'!J7</f>
        <v>08.00 - 16.30
19.30 - 22.30</v>
      </c>
      <c r="J7" s="311" t="str">
        <f>'Annex 1 LV and HV charges_N'!K7</f>
        <v>00.00 - 08.00
22.30 - 00.00</v>
      </c>
      <c r="K7" s="45"/>
      <c r="L7" s="45"/>
      <c r="M7" s="3"/>
      <c r="N7" s="3"/>
    </row>
    <row r="8" spans="1:14" ht="40" customHeight="1" x14ac:dyDescent="0.3">
      <c r="A8" s="465" t="str">
        <f>'Annex 1 LV and HV charges_N'!A8</f>
        <v>Notes</v>
      </c>
      <c r="B8" s="569" t="str">
        <f>'Annex 1 LV and HV charges_N'!B8</f>
        <v>All the above times are in UK Clock time</v>
      </c>
      <c r="C8" s="569" t="str">
        <f>'Annex 1 LV and HV charges_N'!C8</f>
        <v/>
      </c>
      <c r="D8" s="569" t="str">
        <f>'Annex 1 LV and HV charges_N'!D8</f>
        <v/>
      </c>
      <c r="E8" s="45"/>
      <c r="F8" s="569" t="str">
        <f>'Annex 1 LV and HV charges_N'!G8</f>
        <v>Monday to Friday 
(Including Bank Holidays)
March, April, May and September, October</v>
      </c>
      <c r="G8" s="569" t="str">
        <f>'Annex 1 LV and HV charges_N'!H8</f>
        <v/>
      </c>
      <c r="H8" s="310" t="str">
        <f>'Annex 1 LV and HV charges_N'!I8</f>
        <v/>
      </c>
      <c r="I8" s="309" t="str">
        <f>'Annex 1 LV and HV charges_N'!J8</f>
        <v>08.00 - 22.30</v>
      </c>
      <c r="J8" s="311" t="str">
        <f>'Annex 1 LV and HV charges_N'!K8</f>
        <v>00.00 - 08.00
22.30 - 00.00</v>
      </c>
      <c r="K8" s="45"/>
      <c r="L8" s="45"/>
      <c r="M8" s="3"/>
      <c r="N8" s="3"/>
    </row>
    <row r="9" spans="1:14" ht="40" customHeight="1" x14ac:dyDescent="0.3">
      <c r="A9" s="334"/>
      <c r="B9" s="335"/>
      <c r="C9" s="335"/>
      <c r="D9" s="335"/>
      <c r="E9" s="45"/>
      <c r="F9" s="569" t="str">
        <f>'Annex 1 LV and HV charges_N'!G9</f>
        <v>Saturday and Sunday
All year</v>
      </c>
      <c r="G9" s="569" t="str">
        <f>'Annex 1 LV and HV charges_N'!H9</f>
        <v/>
      </c>
      <c r="H9" s="310" t="str">
        <f>'Annex 1 LV and HV charges_N'!I9</f>
        <v/>
      </c>
      <c r="I9" s="311" t="str">
        <f>'Annex 1 LV and HV charges_N'!J9</f>
        <v>16.00 - 20.00</v>
      </c>
      <c r="J9" s="311" t="str">
        <f>'Annex 1 LV and HV charges_N'!K9</f>
        <v>00:00-16:00
20:00-00:00</v>
      </c>
      <c r="K9" s="45"/>
      <c r="L9" s="45"/>
      <c r="M9" s="3"/>
      <c r="N9" s="3"/>
    </row>
    <row r="10" spans="1:14" s="41" customFormat="1" ht="40" customHeight="1" x14ac:dyDescent="0.3">
      <c r="A10" s="185"/>
      <c r="B10" s="308"/>
      <c r="C10" s="186"/>
      <c r="D10" s="522" t="s">
        <v>480</v>
      </c>
      <c r="E10" s="49"/>
      <c r="F10" s="617" t="str">
        <f>'Annex 1 LV and HV charges_N'!G10</f>
        <v>Notes</v>
      </c>
      <c r="G10" s="617" t="str">
        <f>'Annex 1 LV and HV charges_N'!H10</f>
        <v/>
      </c>
      <c r="H10" s="537" t="str">
        <f>'Annex 1 LV and HV charges_N'!I10</f>
        <v>All the above times are in UK Clock time</v>
      </c>
      <c r="I10" s="546">
        <f>'Annex 1 LV and HV charges_N'!J10</f>
        <v>0</v>
      </c>
      <c r="J10" s="538">
        <f>'Annex 1 LV and HV charges_N'!K10</f>
        <v>0</v>
      </c>
      <c r="K10" s="45"/>
      <c r="L10" s="45"/>
      <c r="M10" s="29"/>
      <c r="N10" s="29"/>
    </row>
    <row r="11" spans="1:14" ht="75" customHeight="1" x14ac:dyDescent="0.3">
      <c r="A11" s="18" t="s">
        <v>455</v>
      </c>
      <c r="B11" s="18" t="s">
        <v>31</v>
      </c>
      <c r="C11" s="433" t="s">
        <v>24</v>
      </c>
      <c r="D11" s="374" t="s">
        <v>579</v>
      </c>
      <c r="E11" s="374" t="s">
        <v>580</v>
      </c>
      <c r="F11" s="374" t="s">
        <v>581</v>
      </c>
      <c r="G11" s="433" t="s">
        <v>25</v>
      </c>
      <c r="H11" s="433" t="s">
        <v>26</v>
      </c>
      <c r="I11" s="433" t="s">
        <v>456</v>
      </c>
      <c r="J11" s="433" t="s">
        <v>270</v>
      </c>
      <c r="K11" s="1"/>
    </row>
    <row r="12" spans="1:14" ht="35.049999999999997" customHeight="1" x14ac:dyDescent="0.3">
      <c r="A12" s="398" t="s">
        <v>786</v>
      </c>
      <c r="B12" s="17"/>
      <c r="C12" s="405"/>
      <c r="D12" s="501">
        <v>4.7169999999999996</v>
      </c>
      <c r="E12" s="502">
        <v>0.51200000000000001</v>
      </c>
      <c r="F12" s="503">
        <v>0.01</v>
      </c>
      <c r="G12" s="508">
        <v>13.41</v>
      </c>
      <c r="H12" s="509"/>
      <c r="I12" s="399"/>
      <c r="J12" s="500"/>
      <c r="K12" s="1"/>
    </row>
    <row r="13" spans="1:14" ht="35.049999999999997" customHeight="1" x14ac:dyDescent="0.3">
      <c r="A13" s="398" t="s">
        <v>787</v>
      </c>
      <c r="B13" s="17"/>
      <c r="C13" s="405"/>
      <c r="D13" s="501">
        <v>4.7169999999999996</v>
      </c>
      <c r="E13" s="502">
        <v>0.51200000000000001</v>
      </c>
      <c r="F13" s="503">
        <v>0.01</v>
      </c>
      <c r="G13" s="509"/>
      <c r="H13" s="509"/>
      <c r="I13" s="399"/>
      <c r="J13" s="500"/>
      <c r="K13" s="1"/>
    </row>
    <row r="14" spans="1:14" ht="35.049999999999997" customHeight="1" x14ac:dyDescent="0.3">
      <c r="A14" s="398" t="s">
        <v>788</v>
      </c>
      <c r="B14" s="17"/>
      <c r="C14" s="405"/>
      <c r="D14" s="501">
        <v>6.07</v>
      </c>
      <c r="E14" s="502">
        <v>0.65900000000000003</v>
      </c>
      <c r="F14" s="503">
        <v>1.2E-2</v>
      </c>
      <c r="G14" s="508">
        <v>3.83</v>
      </c>
      <c r="H14" s="509"/>
      <c r="I14" s="399"/>
      <c r="J14" s="500"/>
      <c r="K14" s="1"/>
    </row>
    <row r="15" spans="1:14" ht="35.049999999999997" customHeight="1" x14ac:dyDescent="0.3">
      <c r="A15" s="398" t="s">
        <v>789</v>
      </c>
      <c r="B15" s="17"/>
      <c r="C15" s="405"/>
      <c r="D15" s="501">
        <v>6.07</v>
      </c>
      <c r="E15" s="502">
        <v>0.65900000000000003</v>
      </c>
      <c r="F15" s="503">
        <v>1.2E-2</v>
      </c>
      <c r="G15" s="508">
        <v>15.31</v>
      </c>
      <c r="H15" s="509"/>
      <c r="I15" s="399"/>
      <c r="J15" s="500"/>
      <c r="K15" s="1"/>
    </row>
    <row r="16" spans="1:14" ht="35.049999999999997" customHeight="1" x14ac:dyDescent="0.3">
      <c r="A16" s="398" t="s">
        <v>790</v>
      </c>
      <c r="B16" s="17"/>
      <c r="C16" s="405"/>
      <c r="D16" s="501">
        <v>6.07</v>
      </c>
      <c r="E16" s="502">
        <v>0.65900000000000003</v>
      </c>
      <c r="F16" s="503">
        <v>1.2E-2</v>
      </c>
      <c r="G16" s="508">
        <v>32.93</v>
      </c>
      <c r="H16" s="509"/>
      <c r="I16" s="399"/>
      <c r="J16" s="500"/>
      <c r="K16" s="1"/>
    </row>
    <row r="17" spans="1:11" ht="35.049999999999997" customHeight="1" x14ac:dyDescent="0.3">
      <c r="A17" s="398" t="s">
        <v>791</v>
      </c>
      <c r="B17" s="17"/>
      <c r="C17" s="405"/>
      <c r="D17" s="501">
        <v>6.07</v>
      </c>
      <c r="E17" s="502">
        <v>0.65900000000000003</v>
      </c>
      <c r="F17" s="503">
        <v>1.2E-2</v>
      </c>
      <c r="G17" s="508">
        <v>68.7</v>
      </c>
      <c r="H17" s="509"/>
      <c r="I17" s="399"/>
      <c r="J17" s="500"/>
      <c r="K17" s="1"/>
    </row>
    <row r="18" spans="1:11" ht="35.049999999999997" customHeight="1" x14ac:dyDescent="0.3">
      <c r="A18" s="398" t="s">
        <v>792</v>
      </c>
      <c r="B18" s="17"/>
      <c r="C18" s="405"/>
      <c r="D18" s="501">
        <v>6.07</v>
      </c>
      <c r="E18" s="502">
        <v>0.65900000000000003</v>
      </c>
      <c r="F18" s="503">
        <v>1.2E-2</v>
      </c>
      <c r="G18" s="508">
        <v>196.04</v>
      </c>
      <c r="H18" s="509"/>
      <c r="I18" s="399"/>
      <c r="J18" s="500"/>
      <c r="K18" s="1"/>
    </row>
    <row r="19" spans="1:11" ht="35.049999999999997" customHeight="1" x14ac:dyDescent="0.3">
      <c r="A19" s="398" t="s">
        <v>582</v>
      </c>
      <c r="B19" s="17"/>
      <c r="C19" s="405"/>
      <c r="D19" s="501">
        <v>6.07</v>
      </c>
      <c r="E19" s="502">
        <v>0.65900000000000003</v>
      </c>
      <c r="F19" s="503">
        <v>1.2E-2</v>
      </c>
      <c r="G19" s="509"/>
      <c r="H19" s="509"/>
      <c r="I19" s="399"/>
      <c r="J19" s="500"/>
      <c r="K19" s="1"/>
    </row>
    <row r="20" spans="1:11" ht="35.049999999999997" customHeight="1" x14ac:dyDescent="0.3">
      <c r="A20" s="398" t="s">
        <v>793</v>
      </c>
      <c r="B20" s="17"/>
      <c r="C20" s="405"/>
      <c r="D20" s="501">
        <v>3.9710000000000001</v>
      </c>
      <c r="E20" s="502">
        <v>0.40799999999999997</v>
      </c>
      <c r="F20" s="503">
        <v>7.0000000000000001E-3</v>
      </c>
      <c r="G20" s="508">
        <v>14.76</v>
      </c>
      <c r="H20" s="508">
        <v>1.58</v>
      </c>
      <c r="I20" s="400">
        <v>2.29</v>
      </c>
      <c r="J20" s="499">
        <v>0.10100000000000001</v>
      </c>
      <c r="K20" s="1"/>
    </row>
    <row r="21" spans="1:11" ht="35.049999999999997" customHeight="1" x14ac:dyDescent="0.3">
      <c r="A21" s="398" t="s">
        <v>794</v>
      </c>
      <c r="B21" s="17"/>
      <c r="C21" s="405"/>
      <c r="D21" s="501">
        <v>3.9710000000000001</v>
      </c>
      <c r="E21" s="502">
        <v>0.40799999999999997</v>
      </c>
      <c r="F21" s="503">
        <v>7.0000000000000001E-3</v>
      </c>
      <c r="G21" s="508">
        <v>359.47</v>
      </c>
      <c r="H21" s="508">
        <v>1.58</v>
      </c>
      <c r="I21" s="400">
        <v>2.29</v>
      </c>
      <c r="J21" s="499">
        <v>0.10100000000000001</v>
      </c>
      <c r="K21" s="1"/>
    </row>
    <row r="22" spans="1:11" ht="35.049999999999997" customHeight="1" x14ac:dyDescent="0.3">
      <c r="A22" s="398" t="s">
        <v>795</v>
      </c>
      <c r="B22" s="17"/>
      <c r="C22" s="405"/>
      <c r="D22" s="501">
        <v>3.9710000000000001</v>
      </c>
      <c r="E22" s="502">
        <v>0.40799999999999997</v>
      </c>
      <c r="F22" s="503">
        <v>7.0000000000000001E-3</v>
      </c>
      <c r="G22" s="508">
        <v>623.57000000000005</v>
      </c>
      <c r="H22" s="508">
        <v>1.58</v>
      </c>
      <c r="I22" s="400">
        <v>2.29</v>
      </c>
      <c r="J22" s="499">
        <v>0.10100000000000001</v>
      </c>
      <c r="K22" s="1"/>
    </row>
    <row r="23" spans="1:11" ht="35.049999999999997" customHeight="1" x14ac:dyDescent="0.3">
      <c r="A23" s="398" t="s">
        <v>796</v>
      </c>
      <c r="B23" s="17"/>
      <c r="C23" s="405"/>
      <c r="D23" s="501">
        <v>3.9710000000000001</v>
      </c>
      <c r="E23" s="502">
        <v>0.40799999999999997</v>
      </c>
      <c r="F23" s="503">
        <v>7.0000000000000001E-3</v>
      </c>
      <c r="G23" s="508">
        <v>1050.17</v>
      </c>
      <c r="H23" s="508">
        <v>1.58</v>
      </c>
      <c r="I23" s="400">
        <v>2.29</v>
      </c>
      <c r="J23" s="499">
        <v>0.10100000000000001</v>
      </c>
      <c r="K23" s="1"/>
    </row>
    <row r="24" spans="1:11" ht="35.049999999999997" customHeight="1" x14ac:dyDescent="0.3">
      <c r="A24" s="398" t="s">
        <v>797</v>
      </c>
      <c r="B24" s="17"/>
      <c r="C24" s="405"/>
      <c r="D24" s="501">
        <v>3.9710000000000001</v>
      </c>
      <c r="E24" s="502">
        <v>0.40799999999999997</v>
      </c>
      <c r="F24" s="503">
        <v>7.0000000000000001E-3</v>
      </c>
      <c r="G24" s="508">
        <v>2185.41</v>
      </c>
      <c r="H24" s="508">
        <v>1.58</v>
      </c>
      <c r="I24" s="400">
        <v>2.29</v>
      </c>
      <c r="J24" s="499">
        <v>0.10100000000000001</v>
      </c>
      <c r="K24" s="1"/>
    </row>
    <row r="25" spans="1:11" ht="35.049999999999997" customHeight="1" x14ac:dyDescent="0.3">
      <c r="A25" s="398" t="s">
        <v>583</v>
      </c>
      <c r="B25" s="17"/>
      <c r="C25" s="406"/>
      <c r="D25" s="504">
        <v>13.430999999999999</v>
      </c>
      <c r="E25" s="505">
        <v>1.925</v>
      </c>
      <c r="F25" s="503">
        <v>1.44</v>
      </c>
      <c r="G25" s="509"/>
      <c r="H25" s="509"/>
      <c r="I25" s="399"/>
      <c r="J25" s="500"/>
      <c r="K25" s="1"/>
    </row>
    <row r="26" spans="1:11" ht="35.049999999999997" customHeight="1" x14ac:dyDescent="0.3">
      <c r="A26" s="398" t="s">
        <v>686</v>
      </c>
      <c r="B26" s="17"/>
      <c r="C26" s="406"/>
      <c r="D26" s="501">
        <v>-6.01</v>
      </c>
      <c r="E26" s="502">
        <v>-0.65200000000000002</v>
      </c>
      <c r="F26" s="503">
        <v>-1.2E-2</v>
      </c>
      <c r="G26" s="508">
        <v>0</v>
      </c>
      <c r="H26" s="509"/>
      <c r="I26" s="399"/>
      <c r="J26" s="500"/>
      <c r="K26" s="1"/>
    </row>
    <row r="27" spans="1:11" ht="35.049999999999997" customHeight="1" x14ac:dyDescent="0.3">
      <c r="A27" s="398" t="s">
        <v>687</v>
      </c>
      <c r="B27" s="17"/>
      <c r="C27" s="406"/>
      <c r="D27" s="501">
        <v>-6.01</v>
      </c>
      <c r="E27" s="502">
        <v>-0.65200000000000002</v>
      </c>
      <c r="F27" s="503">
        <v>-1.2E-2</v>
      </c>
      <c r="G27" s="508">
        <v>0</v>
      </c>
      <c r="H27" s="509"/>
      <c r="I27" s="399"/>
      <c r="J27" s="499">
        <v>0.16</v>
      </c>
      <c r="K27" s="1"/>
    </row>
    <row r="28" spans="1:11" ht="35.049999999999997" customHeight="1" x14ac:dyDescent="0.3">
      <c r="A28" s="401" t="s">
        <v>798</v>
      </c>
      <c r="B28" s="17"/>
      <c r="C28" s="406"/>
      <c r="D28" s="501">
        <v>3.0979999999999999</v>
      </c>
      <c r="E28" s="502">
        <v>0.33600000000000002</v>
      </c>
      <c r="F28" s="503">
        <v>6.0000000000000001E-3</v>
      </c>
      <c r="G28" s="508">
        <v>8.91</v>
      </c>
      <c r="H28" s="509"/>
      <c r="I28" s="399"/>
      <c r="J28" s="500"/>
      <c r="K28" s="1"/>
    </row>
    <row r="29" spans="1:11" ht="35.049999999999997" customHeight="1" x14ac:dyDescent="0.3">
      <c r="A29" s="401" t="s">
        <v>799</v>
      </c>
      <c r="B29" s="17"/>
      <c r="C29" s="406"/>
      <c r="D29" s="501">
        <v>3.0979999999999999</v>
      </c>
      <c r="E29" s="502">
        <v>0.33600000000000002</v>
      </c>
      <c r="F29" s="503">
        <v>6.0000000000000001E-3</v>
      </c>
      <c r="G29" s="509"/>
      <c r="H29" s="509"/>
      <c r="I29" s="399"/>
      <c r="J29" s="500"/>
      <c r="K29" s="1"/>
    </row>
    <row r="30" spans="1:11" ht="35.049999999999997" customHeight="1" x14ac:dyDescent="0.3">
      <c r="A30" s="401" t="s">
        <v>800</v>
      </c>
      <c r="B30" s="17"/>
      <c r="C30" s="406"/>
      <c r="D30" s="501">
        <v>3.9870000000000001</v>
      </c>
      <c r="E30" s="502">
        <v>0.433</v>
      </c>
      <c r="F30" s="503">
        <v>8.0000000000000002E-3</v>
      </c>
      <c r="G30" s="508">
        <v>2.57</v>
      </c>
      <c r="H30" s="509"/>
      <c r="I30" s="399"/>
      <c r="J30" s="500"/>
      <c r="K30" s="1"/>
    </row>
    <row r="31" spans="1:11" ht="35.049999999999997" customHeight="1" x14ac:dyDescent="0.3">
      <c r="A31" s="401" t="s">
        <v>801</v>
      </c>
      <c r="B31" s="17"/>
      <c r="C31" s="406"/>
      <c r="D31" s="501">
        <v>3.9870000000000001</v>
      </c>
      <c r="E31" s="502">
        <v>0.433</v>
      </c>
      <c r="F31" s="503">
        <v>8.0000000000000002E-3</v>
      </c>
      <c r="G31" s="508">
        <v>10.11</v>
      </c>
      <c r="H31" s="509"/>
      <c r="I31" s="399"/>
      <c r="J31" s="500"/>
      <c r="K31" s="1"/>
    </row>
    <row r="32" spans="1:11" ht="35.049999999999997" customHeight="1" x14ac:dyDescent="0.3">
      <c r="A32" s="401" t="s">
        <v>802</v>
      </c>
      <c r="B32" s="17"/>
      <c r="C32" s="406"/>
      <c r="D32" s="501">
        <v>3.9870000000000001</v>
      </c>
      <c r="E32" s="502">
        <v>0.433</v>
      </c>
      <c r="F32" s="503">
        <v>8.0000000000000002E-3</v>
      </c>
      <c r="G32" s="508">
        <v>21.68</v>
      </c>
      <c r="H32" s="509"/>
      <c r="I32" s="399"/>
      <c r="J32" s="500"/>
      <c r="K32" s="1"/>
    </row>
    <row r="33" spans="1:11" ht="35.049999999999997" customHeight="1" x14ac:dyDescent="0.3">
      <c r="A33" s="401" t="s">
        <v>803</v>
      </c>
      <c r="B33" s="17"/>
      <c r="C33" s="406"/>
      <c r="D33" s="501">
        <v>3.9870000000000001</v>
      </c>
      <c r="E33" s="502">
        <v>0.433</v>
      </c>
      <c r="F33" s="503">
        <v>8.0000000000000002E-3</v>
      </c>
      <c r="G33" s="508">
        <v>45.18</v>
      </c>
      <c r="H33" s="509"/>
      <c r="I33" s="399"/>
      <c r="J33" s="500"/>
      <c r="K33" s="1"/>
    </row>
    <row r="34" spans="1:11" ht="35.049999999999997" customHeight="1" x14ac:dyDescent="0.3">
      <c r="A34" s="401" t="s">
        <v>804</v>
      </c>
      <c r="B34" s="17"/>
      <c r="C34" s="406"/>
      <c r="D34" s="501">
        <v>3.9870000000000001</v>
      </c>
      <c r="E34" s="502">
        <v>0.433</v>
      </c>
      <c r="F34" s="503">
        <v>8.0000000000000002E-3</v>
      </c>
      <c r="G34" s="508">
        <v>128.81</v>
      </c>
      <c r="H34" s="509"/>
      <c r="I34" s="399"/>
      <c r="J34" s="500"/>
      <c r="K34" s="1"/>
    </row>
    <row r="35" spans="1:11" ht="35.049999999999997" customHeight="1" x14ac:dyDescent="0.3">
      <c r="A35" s="401" t="s">
        <v>584</v>
      </c>
      <c r="B35" s="17"/>
      <c r="C35" s="406"/>
      <c r="D35" s="501">
        <v>3.9870000000000001</v>
      </c>
      <c r="E35" s="502">
        <v>0.433</v>
      </c>
      <c r="F35" s="503">
        <v>8.0000000000000002E-3</v>
      </c>
      <c r="G35" s="509"/>
      <c r="H35" s="509"/>
      <c r="I35" s="399"/>
      <c r="J35" s="500"/>
      <c r="K35" s="1"/>
    </row>
    <row r="36" spans="1:11" ht="35.049999999999997" customHeight="1" x14ac:dyDescent="0.3">
      <c r="A36" s="401" t="s">
        <v>805</v>
      </c>
      <c r="B36" s="17"/>
      <c r="C36" s="406"/>
      <c r="D36" s="501">
        <v>2.6080000000000001</v>
      </c>
      <c r="E36" s="502">
        <v>0.26800000000000002</v>
      </c>
      <c r="F36" s="503">
        <v>5.0000000000000001E-3</v>
      </c>
      <c r="G36" s="508">
        <v>9.75</v>
      </c>
      <c r="H36" s="508">
        <v>1.04</v>
      </c>
      <c r="I36" s="400">
        <v>1.51</v>
      </c>
      <c r="J36" s="499">
        <v>6.7000000000000004E-2</v>
      </c>
      <c r="K36" s="1"/>
    </row>
    <row r="37" spans="1:11" ht="35.049999999999997" customHeight="1" x14ac:dyDescent="0.3">
      <c r="A37" s="401" t="s">
        <v>806</v>
      </c>
      <c r="B37" s="17"/>
      <c r="C37" s="406"/>
      <c r="D37" s="501">
        <v>2.6080000000000001</v>
      </c>
      <c r="E37" s="502">
        <v>0.26800000000000002</v>
      </c>
      <c r="F37" s="503">
        <v>5.0000000000000001E-3</v>
      </c>
      <c r="G37" s="508">
        <v>236.15</v>
      </c>
      <c r="H37" s="508">
        <v>1.04</v>
      </c>
      <c r="I37" s="400">
        <v>1.51</v>
      </c>
      <c r="J37" s="499">
        <v>6.7000000000000004E-2</v>
      </c>
      <c r="K37" s="1"/>
    </row>
    <row r="38" spans="1:11" ht="35.049999999999997" customHeight="1" x14ac:dyDescent="0.3">
      <c r="A38" s="401" t="s">
        <v>807</v>
      </c>
      <c r="B38" s="17"/>
      <c r="C38" s="406"/>
      <c r="D38" s="501">
        <v>2.6080000000000001</v>
      </c>
      <c r="E38" s="502">
        <v>0.26800000000000002</v>
      </c>
      <c r="F38" s="503">
        <v>5.0000000000000001E-3</v>
      </c>
      <c r="G38" s="508">
        <v>409.59</v>
      </c>
      <c r="H38" s="508">
        <v>1.04</v>
      </c>
      <c r="I38" s="400">
        <v>1.51</v>
      </c>
      <c r="J38" s="499">
        <v>6.7000000000000004E-2</v>
      </c>
      <c r="K38" s="1"/>
    </row>
    <row r="39" spans="1:11" ht="35.049999999999997" customHeight="1" x14ac:dyDescent="0.3">
      <c r="A39" s="401" t="s">
        <v>808</v>
      </c>
      <c r="B39" s="17"/>
      <c r="C39" s="406"/>
      <c r="D39" s="501">
        <v>2.6080000000000001</v>
      </c>
      <c r="E39" s="502">
        <v>0.26800000000000002</v>
      </c>
      <c r="F39" s="503">
        <v>5.0000000000000001E-3</v>
      </c>
      <c r="G39" s="508">
        <v>689.77</v>
      </c>
      <c r="H39" s="508">
        <v>1.04</v>
      </c>
      <c r="I39" s="400">
        <v>1.51</v>
      </c>
      <c r="J39" s="499">
        <v>6.7000000000000004E-2</v>
      </c>
      <c r="K39" s="1"/>
    </row>
    <row r="40" spans="1:11" ht="35.049999999999997" customHeight="1" x14ac:dyDescent="0.3">
      <c r="A40" s="401" t="s">
        <v>809</v>
      </c>
      <c r="B40" s="17"/>
      <c r="C40" s="406"/>
      <c r="D40" s="501">
        <v>2.6080000000000001</v>
      </c>
      <c r="E40" s="502">
        <v>0.26800000000000002</v>
      </c>
      <c r="F40" s="503">
        <v>5.0000000000000001E-3</v>
      </c>
      <c r="G40" s="508">
        <v>1435.37</v>
      </c>
      <c r="H40" s="508">
        <v>1.04</v>
      </c>
      <c r="I40" s="400">
        <v>1.51</v>
      </c>
      <c r="J40" s="499">
        <v>6.7000000000000004E-2</v>
      </c>
      <c r="K40" s="1"/>
    </row>
    <row r="41" spans="1:11" ht="35.049999999999997" customHeight="1" x14ac:dyDescent="0.3">
      <c r="A41" s="401" t="s">
        <v>810</v>
      </c>
      <c r="B41" s="17"/>
      <c r="C41" s="406"/>
      <c r="D41" s="501">
        <v>2.4729999999999999</v>
      </c>
      <c r="E41" s="502">
        <v>0.21099999999999999</v>
      </c>
      <c r="F41" s="503">
        <v>3.0000000000000001E-3</v>
      </c>
      <c r="G41" s="508">
        <v>5.75</v>
      </c>
      <c r="H41" s="508">
        <v>3.12</v>
      </c>
      <c r="I41" s="400">
        <v>3.55</v>
      </c>
      <c r="J41" s="499">
        <v>4.8000000000000001E-2</v>
      </c>
      <c r="K41" s="1"/>
    </row>
    <row r="42" spans="1:11" ht="35.049999999999997" customHeight="1" x14ac:dyDescent="0.3">
      <c r="A42" s="401" t="s">
        <v>811</v>
      </c>
      <c r="B42" s="17"/>
      <c r="C42" s="406"/>
      <c r="D42" s="501">
        <v>2.4729999999999999</v>
      </c>
      <c r="E42" s="502">
        <v>0.21099999999999999</v>
      </c>
      <c r="F42" s="503">
        <v>3.0000000000000001E-3</v>
      </c>
      <c r="G42" s="508">
        <v>379.71</v>
      </c>
      <c r="H42" s="508">
        <v>3.12</v>
      </c>
      <c r="I42" s="400">
        <v>3.55</v>
      </c>
      <c r="J42" s="499">
        <v>4.8000000000000001E-2</v>
      </c>
      <c r="K42" s="1"/>
    </row>
    <row r="43" spans="1:11" ht="35.049999999999997" customHeight="1" x14ac:dyDescent="0.3">
      <c r="A43" s="401" t="s">
        <v>812</v>
      </c>
      <c r="B43" s="17"/>
      <c r="C43" s="406"/>
      <c r="D43" s="501">
        <v>2.4729999999999999</v>
      </c>
      <c r="E43" s="502">
        <v>0.21099999999999999</v>
      </c>
      <c r="F43" s="503">
        <v>3.0000000000000001E-3</v>
      </c>
      <c r="G43" s="508">
        <v>666.21</v>
      </c>
      <c r="H43" s="508">
        <v>3.12</v>
      </c>
      <c r="I43" s="400">
        <v>3.55</v>
      </c>
      <c r="J43" s="499">
        <v>4.8000000000000001E-2</v>
      </c>
      <c r="K43" s="1"/>
    </row>
    <row r="44" spans="1:11" ht="35.049999999999997" customHeight="1" x14ac:dyDescent="0.3">
      <c r="A44" s="401" t="s">
        <v>813</v>
      </c>
      <c r="B44" s="17"/>
      <c r="C44" s="406"/>
      <c r="D44" s="501">
        <v>2.4729999999999999</v>
      </c>
      <c r="E44" s="502">
        <v>0.21099999999999999</v>
      </c>
      <c r="F44" s="503">
        <v>3.0000000000000001E-3</v>
      </c>
      <c r="G44" s="508">
        <v>1129</v>
      </c>
      <c r="H44" s="508">
        <v>3.12</v>
      </c>
      <c r="I44" s="400">
        <v>3.55</v>
      </c>
      <c r="J44" s="499">
        <v>4.8000000000000001E-2</v>
      </c>
      <c r="K44" s="1"/>
    </row>
    <row r="45" spans="1:11" ht="35.049999999999997" customHeight="1" x14ac:dyDescent="0.3">
      <c r="A45" s="401" t="s">
        <v>814</v>
      </c>
      <c r="B45" s="17"/>
      <c r="C45" s="406"/>
      <c r="D45" s="501">
        <v>2.4729999999999999</v>
      </c>
      <c r="E45" s="502">
        <v>0.21099999999999999</v>
      </c>
      <c r="F45" s="503">
        <v>3.0000000000000001E-3</v>
      </c>
      <c r="G45" s="508">
        <v>2360.5700000000002</v>
      </c>
      <c r="H45" s="508">
        <v>3.12</v>
      </c>
      <c r="I45" s="400">
        <v>3.55</v>
      </c>
      <c r="J45" s="499">
        <v>4.8000000000000001E-2</v>
      </c>
      <c r="K45" s="1"/>
    </row>
    <row r="46" spans="1:11" ht="35.049999999999997" customHeight="1" x14ac:dyDescent="0.3">
      <c r="A46" s="401" t="s">
        <v>815</v>
      </c>
      <c r="B46" s="17"/>
      <c r="C46" s="406"/>
      <c r="D46" s="501">
        <v>2.0329999999999999</v>
      </c>
      <c r="E46" s="502">
        <v>0.155</v>
      </c>
      <c r="F46" s="503">
        <v>2E-3</v>
      </c>
      <c r="G46" s="508">
        <v>97.54</v>
      </c>
      <c r="H46" s="508">
        <v>3.95</v>
      </c>
      <c r="I46" s="400">
        <v>4.8600000000000003</v>
      </c>
      <c r="J46" s="499">
        <v>3.2000000000000001E-2</v>
      </c>
      <c r="K46" s="1"/>
    </row>
    <row r="47" spans="1:11" ht="35.049999999999997" customHeight="1" x14ac:dyDescent="0.3">
      <c r="A47" s="401" t="s">
        <v>816</v>
      </c>
      <c r="B47" s="17"/>
      <c r="C47" s="406"/>
      <c r="D47" s="501">
        <v>2.0329999999999999</v>
      </c>
      <c r="E47" s="502">
        <v>0.155</v>
      </c>
      <c r="F47" s="503">
        <v>2E-3</v>
      </c>
      <c r="G47" s="508">
        <v>2303.25</v>
      </c>
      <c r="H47" s="508">
        <v>3.95</v>
      </c>
      <c r="I47" s="400">
        <v>4.8600000000000003</v>
      </c>
      <c r="J47" s="499">
        <v>3.2000000000000001E-2</v>
      </c>
      <c r="K47" s="1"/>
    </row>
    <row r="48" spans="1:11" ht="35.049999999999997" customHeight="1" x14ac:dyDescent="0.3">
      <c r="A48" s="401" t="s">
        <v>817</v>
      </c>
      <c r="B48" s="17"/>
      <c r="C48" s="406"/>
      <c r="D48" s="501">
        <v>2.0329999999999999</v>
      </c>
      <c r="E48" s="502">
        <v>0.155</v>
      </c>
      <c r="F48" s="503">
        <v>2E-3</v>
      </c>
      <c r="G48" s="508">
        <v>6922.38</v>
      </c>
      <c r="H48" s="508">
        <v>3.95</v>
      </c>
      <c r="I48" s="400">
        <v>4.8600000000000003</v>
      </c>
      <c r="J48" s="499">
        <v>3.2000000000000001E-2</v>
      </c>
      <c r="K48" s="1"/>
    </row>
    <row r="49" spans="1:11" ht="35.049999999999997" customHeight="1" x14ac:dyDescent="0.3">
      <c r="A49" s="401" t="s">
        <v>818</v>
      </c>
      <c r="B49" s="17"/>
      <c r="C49" s="406"/>
      <c r="D49" s="501">
        <v>2.0329999999999999</v>
      </c>
      <c r="E49" s="502">
        <v>0.155</v>
      </c>
      <c r="F49" s="503">
        <v>2E-3</v>
      </c>
      <c r="G49" s="508">
        <v>14132.55</v>
      </c>
      <c r="H49" s="508">
        <v>3.95</v>
      </c>
      <c r="I49" s="400">
        <v>4.8600000000000003</v>
      </c>
      <c r="J49" s="499">
        <v>3.2000000000000001E-2</v>
      </c>
      <c r="K49" s="1"/>
    </row>
    <row r="50" spans="1:11" ht="35.049999999999997" customHeight="1" x14ac:dyDescent="0.3">
      <c r="A50" s="401" t="s">
        <v>819</v>
      </c>
      <c r="B50" s="17"/>
      <c r="C50" s="406"/>
      <c r="D50" s="501">
        <v>2.0329999999999999</v>
      </c>
      <c r="E50" s="502">
        <v>0.155</v>
      </c>
      <c r="F50" s="503">
        <v>2E-3</v>
      </c>
      <c r="G50" s="508">
        <v>36652.370000000003</v>
      </c>
      <c r="H50" s="508">
        <v>3.95</v>
      </c>
      <c r="I50" s="400">
        <v>4.8600000000000003</v>
      </c>
      <c r="J50" s="499">
        <v>3.2000000000000001E-2</v>
      </c>
      <c r="K50" s="1"/>
    </row>
    <row r="51" spans="1:11" ht="35.049999999999997" customHeight="1" x14ac:dyDescent="0.3">
      <c r="A51" s="401" t="s">
        <v>585</v>
      </c>
      <c r="B51" s="17"/>
      <c r="C51" s="406"/>
      <c r="D51" s="504">
        <v>8.8209999999999997</v>
      </c>
      <c r="E51" s="505">
        <v>1.264</v>
      </c>
      <c r="F51" s="503">
        <v>0.94599999999999995</v>
      </c>
      <c r="G51" s="509"/>
      <c r="H51" s="509"/>
      <c r="I51" s="399"/>
      <c r="J51" s="500"/>
      <c r="K51" s="1"/>
    </row>
    <row r="52" spans="1:11" ht="35.049999999999997" customHeight="1" x14ac:dyDescent="0.3">
      <c r="A52" s="401" t="s">
        <v>688</v>
      </c>
      <c r="B52" s="17"/>
      <c r="C52" s="406"/>
      <c r="D52" s="501">
        <v>-6.01</v>
      </c>
      <c r="E52" s="502">
        <v>-0.65200000000000002</v>
      </c>
      <c r="F52" s="503">
        <v>-1.2E-2</v>
      </c>
      <c r="G52" s="508">
        <v>0</v>
      </c>
      <c r="H52" s="509"/>
      <c r="I52" s="399"/>
      <c r="J52" s="500"/>
      <c r="K52" s="1"/>
    </row>
    <row r="53" spans="1:11" ht="35.049999999999997" customHeight="1" x14ac:dyDescent="0.3">
      <c r="A53" s="401" t="s">
        <v>689</v>
      </c>
      <c r="B53" s="17"/>
      <c r="C53" s="406"/>
      <c r="D53" s="501">
        <v>-5.2439999999999998</v>
      </c>
      <c r="E53" s="502">
        <v>-0.55400000000000005</v>
      </c>
      <c r="F53" s="503">
        <v>-0.01</v>
      </c>
      <c r="G53" s="508">
        <v>0</v>
      </c>
      <c r="H53" s="509"/>
      <c r="I53" s="399"/>
      <c r="J53" s="500"/>
      <c r="K53" s="1"/>
    </row>
    <row r="54" spans="1:11" ht="35.049999999999997" customHeight="1" x14ac:dyDescent="0.3">
      <c r="A54" s="401" t="s">
        <v>599</v>
      </c>
      <c r="B54" s="17"/>
      <c r="C54" s="406"/>
      <c r="D54" s="501">
        <v>-6.01</v>
      </c>
      <c r="E54" s="502">
        <v>-0.65200000000000002</v>
      </c>
      <c r="F54" s="503">
        <v>-1.2E-2</v>
      </c>
      <c r="G54" s="508">
        <v>0</v>
      </c>
      <c r="H54" s="509"/>
      <c r="I54" s="399"/>
      <c r="J54" s="499">
        <v>0.16</v>
      </c>
      <c r="K54" s="1"/>
    </row>
    <row r="55" spans="1:11" ht="35.049999999999997" customHeight="1" x14ac:dyDescent="0.3">
      <c r="A55" s="401" t="s">
        <v>690</v>
      </c>
      <c r="B55" s="17"/>
      <c r="C55" s="406"/>
      <c r="D55" s="501">
        <v>-5.2439999999999998</v>
      </c>
      <c r="E55" s="502">
        <v>-0.55400000000000005</v>
      </c>
      <c r="F55" s="503">
        <v>-0.01</v>
      </c>
      <c r="G55" s="508">
        <v>0</v>
      </c>
      <c r="H55" s="509"/>
      <c r="I55" s="399"/>
      <c r="J55" s="499">
        <v>0.13700000000000001</v>
      </c>
      <c r="K55" s="1"/>
    </row>
    <row r="56" spans="1:11" ht="35.049999999999997" customHeight="1" x14ac:dyDescent="0.3">
      <c r="A56" s="401" t="s">
        <v>600</v>
      </c>
      <c r="B56" s="17"/>
      <c r="C56" s="406"/>
      <c r="D56" s="501">
        <v>-3.2989999999999999</v>
      </c>
      <c r="E56" s="502">
        <v>-0.28000000000000003</v>
      </c>
      <c r="F56" s="503">
        <v>-4.0000000000000001E-3</v>
      </c>
      <c r="G56" s="508">
        <v>0</v>
      </c>
      <c r="H56" s="509"/>
      <c r="I56" s="399"/>
      <c r="J56" s="499">
        <v>0.109</v>
      </c>
      <c r="K56" s="1"/>
    </row>
    <row r="57" spans="1:11" ht="35.049999999999997" customHeight="1" x14ac:dyDescent="0.3">
      <c r="A57" s="398" t="s">
        <v>820</v>
      </c>
      <c r="B57" s="17"/>
      <c r="C57" s="406"/>
      <c r="D57" s="501">
        <v>1.843</v>
      </c>
      <c r="E57" s="502">
        <v>0.2</v>
      </c>
      <c r="F57" s="503">
        <v>4.0000000000000001E-3</v>
      </c>
      <c r="G57" s="508">
        <v>5.42</v>
      </c>
      <c r="H57" s="509"/>
      <c r="I57" s="399"/>
      <c r="J57" s="500"/>
      <c r="K57" s="1"/>
    </row>
    <row r="58" spans="1:11" ht="35.049999999999997" customHeight="1" x14ac:dyDescent="0.3">
      <c r="A58" s="398" t="s">
        <v>821</v>
      </c>
      <c r="B58" s="17"/>
      <c r="C58" s="406"/>
      <c r="D58" s="501">
        <v>1.843</v>
      </c>
      <c r="E58" s="502">
        <v>0.2</v>
      </c>
      <c r="F58" s="503">
        <v>4.0000000000000001E-3</v>
      </c>
      <c r="G58" s="509"/>
      <c r="H58" s="509"/>
      <c r="I58" s="399"/>
      <c r="J58" s="500"/>
      <c r="K58" s="1"/>
    </row>
    <row r="59" spans="1:11" ht="35.049999999999997" customHeight="1" x14ac:dyDescent="0.3">
      <c r="A59" s="398" t="s">
        <v>822</v>
      </c>
      <c r="B59" s="17"/>
      <c r="C59" s="406"/>
      <c r="D59" s="501">
        <v>2.3719999999999999</v>
      </c>
      <c r="E59" s="502">
        <v>0.25700000000000001</v>
      </c>
      <c r="F59" s="503">
        <v>5.0000000000000001E-3</v>
      </c>
      <c r="G59" s="508">
        <v>1.59</v>
      </c>
      <c r="H59" s="509"/>
      <c r="I59" s="399"/>
      <c r="J59" s="500"/>
      <c r="K59" s="1"/>
    </row>
    <row r="60" spans="1:11" ht="35.049999999999997" customHeight="1" x14ac:dyDescent="0.3">
      <c r="A60" s="398" t="s">
        <v>823</v>
      </c>
      <c r="B60" s="17"/>
      <c r="C60" s="406"/>
      <c r="D60" s="501">
        <v>2.3719999999999999</v>
      </c>
      <c r="E60" s="502">
        <v>0.25700000000000001</v>
      </c>
      <c r="F60" s="503">
        <v>5.0000000000000001E-3</v>
      </c>
      <c r="G60" s="508">
        <v>6.08</v>
      </c>
      <c r="H60" s="509"/>
      <c r="I60" s="399"/>
      <c r="J60" s="500"/>
      <c r="K60" s="1"/>
    </row>
    <row r="61" spans="1:11" ht="35.049999999999997" customHeight="1" x14ac:dyDescent="0.3">
      <c r="A61" s="398" t="s">
        <v>824</v>
      </c>
      <c r="B61" s="17"/>
      <c r="C61" s="406"/>
      <c r="D61" s="501">
        <v>2.3719999999999999</v>
      </c>
      <c r="E61" s="502">
        <v>0.25700000000000001</v>
      </c>
      <c r="F61" s="503">
        <v>5.0000000000000001E-3</v>
      </c>
      <c r="G61" s="508">
        <v>12.96</v>
      </c>
      <c r="H61" s="509"/>
      <c r="I61" s="399"/>
      <c r="J61" s="500"/>
      <c r="K61" s="1"/>
    </row>
    <row r="62" spans="1:11" ht="35.049999999999997" customHeight="1" x14ac:dyDescent="0.3">
      <c r="A62" s="398" t="s">
        <v>825</v>
      </c>
      <c r="B62" s="17"/>
      <c r="C62" s="406"/>
      <c r="D62" s="501">
        <v>2.3719999999999999</v>
      </c>
      <c r="E62" s="502">
        <v>0.25700000000000001</v>
      </c>
      <c r="F62" s="503">
        <v>5.0000000000000001E-3</v>
      </c>
      <c r="G62" s="508">
        <v>26.94</v>
      </c>
      <c r="H62" s="509"/>
      <c r="I62" s="399"/>
      <c r="J62" s="500"/>
      <c r="K62" s="1"/>
    </row>
    <row r="63" spans="1:11" ht="35.049999999999997" customHeight="1" x14ac:dyDescent="0.3">
      <c r="A63" s="398" t="s">
        <v>826</v>
      </c>
      <c r="B63" s="17"/>
      <c r="C63" s="406"/>
      <c r="D63" s="501">
        <v>2.3719999999999999</v>
      </c>
      <c r="E63" s="502">
        <v>0.25700000000000001</v>
      </c>
      <c r="F63" s="503">
        <v>5.0000000000000001E-3</v>
      </c>
      <c r="G63" s="508">
        <v>76.69</v>
      </c>
      <c r="H63" s="509"/>
      <c r="I63" s="399"/>
      <c r="J63" s="500"/>
      <c r="K63" s="1"/>
    </row>
    <row r="64" spans="1:11" ht="35.049999999999997" customHeight="1" x14ac:dyDescent="0.3">
      <c r="A64" s="398" t="s">
        <v>586</v>
      </c>
      <c r="B64" s="17"/>
      <c r="C64" s="406"/>
      <c r="D64" s="501">
        <v>2.3719999999999999</v>
      </c>
      <c r="E64" s="502">
        <v>0.25700000000000001</v>
      </c>
      <c r="F64" s="503">
        <v>5.0000000000000001E-3</v>
      </c>
      <c r="G64" s="509"/>
      <c r="H64" s="509"/>
      <c r="I64" s="399"/>
      <c r="J64" s="500"/>
      <c r="K64" s="1"/>
    </row>
    <row r="65" spans="1:11" ht="35.049999999999997" customHeight="1" x14ac:dyDescent="0.3">
      <c r="A65" s="398" t="s">
        <v>827</v>
      </c>
      <c r="B65" s="17"/>
      <c r="C65" s="406"/>
      <c r="D65" s="501">
        <v>1.552</v>
      </c>
      <c r="E65" s="502">
        <v>0.159</v>
      </c>
      <c r="F65" s="503">
        <v>3.0000000000000001E-3</v>
      </c>
      <c r="G65" s="508">
        <v>5.86</v>
      </c>
      <c r="H65" s="508">
        <v>0.62</v>
      </c>
      <c r="I65" s="400">
        <v>0.9</v>
      </c>
      <c r="J65" s="499">
        <v>0.04</v>
      </c>
      <c r="K65" s="1"/>
    </row>
    <row r="66" spans="1:11" ht="35.049999999999997" customHeight="1" x14ac:dyDescent="0.3">
      <c r="A66" s="398" t="s">
        <v>828</v>
      </c>
      <c r="B66" s="17"/>
      <c r="C66" s="406"/>
      <c r="D66" s="501">
        <v>1.552</v>
      </c>
      <c r="E66" s="502">
        <v>0.159</v>
      </c>
      <c r="F66" s="503">
        <v>3.0000000000000001E-3</v>
      </c>
      <c r="G66" s="508">
        <v>140.55000000000001</v>
      </c>
      <c r="H66" s="508">
        <v>0.62</v>
      </c>
      <c r="I66" s="400">
        <v>0.9</v>
      </c>
      <c r="J66" s="499">
        <v>0.04</v>
      </c>
      <c r="K66" s="1"/>
    </row>
    <row r="67" spans="1:11" ht="35.049999999999997" customHeight="1" x14ac:dyDescent="0.3">
      <c r="A67" s="398" t="s">
        <v>829</v>
      </c>
      <c r="B67" s="17"/>
      <c r="C67" s="406"/>
      <c r="D67" s="501">
        <v>1.552</v>
      </c>
      <c r="E67" s="502">
        <v>0.159</v>
      </c>
      <c r="F67" s="503">
        <v>3.0000000000000001E-3</v>
      </c>
      <c r="G67" s="508">
        <v>243.74</v>
      </c>
      <c r="H67" s="508">
        <v>0.62</v>
      </c>
      <c r="I67" s="400">
        <v>0.9</v>
      </c>
      <c r="J67" s="499">
        <v>0.04</v>
      </c>
      <c r="K67" s="1"/>
    </row>
    <row r="68" spans="1:11" ht="35.049999999999997" customHeight="1" x14ac:dyDescent="0.3">
      <c r="A68" s="398" t="s">
        <v>830</v>
      </c>
      <c r="B68" s="17"/>
      <c r="C68" s="406"/>
      <c r="D68" s="501">
        <v>1.552</v>
      </c>
      <c r="E68" s="502">
        <v>0.159</v>
      </c>
      <c r="F68" s="503">
        <v>3.0000000000000001E-3</v>
      </c>
      <c r="G68" s="508">
        <v>410.42</v>
      </c>
      <c r="H68" s="508">
        <v>0.62</v>
      </c>
      <c r="I68" s="400">
        <v>0.9</v>
      </c>
      <c r="J68" s="499">
        <v>0.04</v>
      </c>
      <c r="K68" s="1"/>
    </row>
    <row r="69" spans="1:11" ht="35.049999999999997" customHeight="1" x14ac:dyDescent="0.3">
      <c r="A69" s="398" t="s">
        <v>831</v>
      </c>
      <c r="B69" s="17"/>
      <c r="C69" s="406"/>
      <c r="D69" s="501">
        <v>1.552</v>
      </c>
      <c r="E69" s="502">
        <v>0.159</v>
      </c>
      <c r="F69" s="503">
        <v>3.0000000000000001E-3</v>
      </c>
      <c r="G69" s="508">
        <v>854</v>
      </c>
      <c r="H69" s="508">
        <v>0.62</v>
      </c>
      <c r="I69" s="400">
        <v>0.9</v>
      </c>
      <c r="J69" s="499">
        <v>0.04</v>
      </c>
      <c r="K69" s="1"/>
    </row>
    <row r="70" spans="1:11" ht="35.049999999999997" customHeight="1" x14ac:dyDescent="0.3">
      <c r="A70" s="398" t="s">
        <v>832</v>
      </c>
      <c r="B70" s="17"/>
      <c r="C70" s="406"/>
      <c r="D70" s="501">
        <v>1.425</v>
      </c>
      <c r="E70" s="502">
        <v>0.122</v>
      </c>
      <c r="F70" s="503">
        <v>2E-3</v>
      </c>
      <c r="G70" s="508">
        <v>3.38</v>
      </c>
      <c r="H70" s="508">
        <v>1.8</v>
      </c>
      <c r="I70" s="400">
        <v>2.0499999999999998</v>
      </c>
      <c r="J70" s="499">
        <v>2.8000000000000001E-2</v>
      </c>
      <c r="K70" s="1"/>
    </row>
    <row r="71" spans="1:11" ht="35.049999999999997" customHeight="1" x14ac:dyDescent="0.3">
      <c r="A71" s="398" t="s">
        <v>833</v>
      </c>
      <c r="B71" s="17"/>
      <c r="C71" s="406"/>
      <c r="D71" s="501">
        <v>1.425</v>
      </c>
      <c r="E71" s="502">
        <v>0.122</v>
      </c>
      <c r="F71" s="503">
        <v>2E-3</v>
      </c>
      <c r="G71" s="508">
        <v>218.76</v>
      </c>
      <c r="H71" s="508">
        <v>1.8</v>
      </c>
      <c r="I71" s="400">
        <v>2.0499999999999998</v>
      </c>
      <c r="J71" s="499">
        <v>2.8000000000000001E-2</v>
      </c>
      <c r="K71" s="1"/>
    </row>
    <row r="72" spans="1:11" ht="35.049999999999997" customHeight="1" x14ac:dyDescent="0.3">
      <c r="A72" s="398" t="s">
        <v>834</v>
      </c>
      <c r="B72" s="17"/>
      <c r="C72" s="406"/>
      <c r="D72" s="501">
        <v>1.425</v>
      </c>
      <c r="E72" s="502">
        <v>0.122</v>
      </c>
      <c r="F72" s="503">
        <v>2E-3</v>
      </c>
      <c r="G72" s="508">
        <v>383.77</v>
      </c>
      <c r="H72" s="508">
        <v>1.8</v>
      </c>
      <c r="I72" s="400">
        <v>2.0499999999999998</v>
      </c>
      <c r="J72" s="499">
        <v>2.8000000000000001E-2</v>
      </c>
      <c r="K72" s="1"/>
    </row>
    <row r="73" spans="1:11" ht="35.049999999999997" customHeight="1" x14ac:dyDescent="0.3">
      <c r="A73" s="398" t="s">
        <v>835</v>
      </c>
      <c r="B73" s="17"/>
      <c r="C73" s="406"/>
      <c r="D73" s="501">
        <v>1.425</v>
      </c>
      <c r="E73" s="502">
        <v>0.122</v>
      </c>
      <c r="F73" s="503">
        <v>2E-3</v>
      </c>
      <c r="G73" s="508">
        <v>650.30999999999995</v>
      </c>
      <c r="H73" s="508">
        <v>1.8</v>
      </c>
      <c r="I73" s="400">
        <v>2.0499999999999998</v>
      </c>
      <c r="J73" s="499">
        <v>2.8000000000000001E-2</v>
      </c>
      <c r="K73" s="1"/>
    </row>
    <row r="74" spans="1:11" ht="35.049999999999997" customHeight="1" x14ac:dyDescent="0.3">
      <c r="A74" s="398" t="s">
        <v>836</v>
      </c>
      <c r="B74" s="17"/>
      <c r="C74" s="406"/>
      <c r="D74" s="501">
        <v>1.425</v>
      </c>
      <c r="E74" s="502">
        <v>0.122</v>
      </c>
      <c r="F74" s="503">
        <v>2E-3</v>
      </c>
      <c r="G74" s="508">
        <v>1359.63</v>
      </c>
      <c r="H74" s="508">
        <v>1.8</v>
      </c>
      <c r="I74" s="400">
        <v>2.0499999999999998</v>
      </c>
      <c r="J74" s="499">
        <v>2.8000000000000001E-2</v>
      </c>
      <c r="K74" s="1"/>
    </row>
    <row r="75" spans="1:11" ht="35.049999999999997" customHeight="1" x14ac:dyDescent="0.3">
      <c r="A75" s="398" t="s">
        <v>837</v>
      </c>
      <c r="B75" s="17"/>
      <c r="C75" s="406"/>
      <c r="D75" s="501">
        <v>1.157</v>
      </c>
      <c r="E75" s="502">
        <v>8.7999999999999995E-2</v>
      </c>
      <c r="F75" s="503">
        <v>1E-3</v>
      </c>
      <c r="G75" s="508">
        <v>55.59</v>
      </c>
      <c r="H75" s="508">
        <v>2.25</v>
      </c>
      <c r="I75" s="400">
        <v>2.77</v>
      </c>
      <c r="J75" s="499">
        <v>1.7999999999999999E-2</v>
      </c>
      <c r="K75" s="1"/>
    </row>
    <row r="76" spans="1:11" ht="35.049999999999997" customHeight="1" x14ac:dyDescent="0.3">
      <c r="A76" s="398" t="s">
        <v>838</v>
      </c>
      <c r="B76" s="17"/>
      <c r="C76" s="406"/>
      <c r="D76" s="501">
        <v>1.157</v>
      </c>
      <c r="E76" s="502">
        <v>8.7999999999999995E-2</v>
      </c>
      <c r="F76" s="503">
        <v>1E-3</v>
      </c>
      <c r="G76" s="508">
        <v>1311.03</v>
      </c>
      <c r="H76" s="508">
        <v>2.25</v>
      </c>
      <c r="I76" s="400">
        <v>2.77</v>
      </c>
      <c r="J76" s="499">
        <v>1.7999999999999999E-2</v>
      </c>
      <c r="K76" s="1"/>
    </row>
    <row r="77" spans="1:11" ht="35.049999999999997" customHeight="1" x14ac:dyDescent="0.3">
      <c r="A77" s="398" t="s">
        <v>839</v>
      </c>
      <c r="B77" s="17"/>
      <c r="C77" s="406"/>
      <c r="D77" s="501">
        <v>1.157</v>
      </c>
      <c r="E77" s="502">
        <v>8.7999999999999995E-2</v>
      </c>
      <c r="F77" s="503">
        <v>1E-3</v>
      </c>
      <c r="G77" s="508">
        <v>3940.14</v>
      </c>
      <c r="H77" s="508">
        <v>2.25</v>
      </c>
      <c r="I77" s="400">
        <v>2.77</v>
      </c>
      <c r="J77" s="499">
        <v>1.7999999999999999E-2</v>
      </c>
      <c r="K77" s="1"/>
    </row>
    <row r="78" spans="1:11" ht="35.049999999999997" customHeight="1" x14ac:dyDescent="0.3">
      <c r="A78" s="398" t="s">
        <v>840</v>
      </c>
      <c r="B78" s="17"/>
      <c r="C78" s="406"/>
      <c r="D78" s="501">
        <v>1.157</v>
      </c>
      <c r="E78" s="502">
        <v>8.7999999999999995E-2</v>
      </c>
      <c r="F78" s="503">
        <v>1E-3</v>
      </c>
      <c r="G78" s="508">
        <v>8044.03</v>
      </c>
      <c r="H78" s="508">
        <v>2.25</v>
      </c>
      <c r="I78" s="400">
        <v>2.77</v>
      </c>
      <c r="J78" s="499">
        <v>1.7999999999999999E-2</v>
      </c>
      <c r="K78" s="1"/>
    </row>
    <row r="79" spans="1:11" ht="35.049999999999997" customHeight="1" x14ac:dyDescent="0.3">
      <c r="A79" s="398" t="s">
        <v>841</v>
      </c>
      <c r="B79" s="17"/>
      <c r="C79" s="406"/>
      <c r="D79" s="501">
        <v>1.157</v>
      </c>
      <c r="E79" s="502">
        <v>8.7999999999999995E-2</v>
      </c>
      <c r="F79" s="503">
        <v>1E-3</v>
      </c>
      <c r="G79" s="508">
        <v>20861.86</v>
      </c>
      <c r="H79" s="508">
        <v>2.25</v>
      </c>
      <c r="I79" s="400">
        <v>2.77</v>
      </c>
      <c r="J79" s="499">
        <v>1.7999999999999999E-2</v>
      </c>
      <c r="K79" s="1"/>
    </row>
    <row r="80" spans="1:11" ht="35.049999999999997" customHeight="1" x14ac:dyDescent="0.3">
      <c r="A80" s="398" t="s">
        <v>587</v>
      </c>
      <c r="B80" s="17"/>
      <c r="C80" s="406"/>
      <c r="D80" s="504">
        <v>5.2480000000000002</v>
      </c>
      <c r="E80" s="505">
        <v>0.752</v>
      </c>
      <c r="F80" s="503">
        <v>0.56299999999999994</v>
      </c>
      <c r="G80" s="509"/>
      <c r="H80" s="509"/>
      <c r="I80" s="399"/>
      <c r="J80" s="500"/>
      <c r="K80" s="1"/>
    </row>
    <row r="81" spans="1:11" ht="35.049999999999997" customHeight="1" x14ac:dyDescent="0.3">
      <c r="A81" s="398" t="s">
        <v>691</v>
      </c>
      <c r="B81" s="17"/>
      <c r="C81" s="406"/>
      <c r="D81" s="501">
        <v>-2.2770000000000001</v>
      </c>
      <c r="E81" s="502">
        <v>-0.247</v>
      </c>
      <c r="F81" s="503">
        <v>-5.0000000000000001E-3</v>
      </c>
      <c r="G81" s="508">
        <v>0</v>
      </c>
      <c r="H81" s="509"/>
      <c r="I81" s="399"/>
      <c r="J81" s="500"/>
      <c r="K81" s="1"/>
    </row>
    <row r="82" spans="1:11" ht="35.049999999999997" customHeight="1" x14ac:dyDescent="0.3">
      <c r="A82" s="398" t="s">
        <v>692</v>
      </c>
      <c r="B82" s="17"/>
      <c r="C82" s="406"/>
      <c r="D82" s="501">
        <v>-2.258</v>
      </c>
      <c r="E82" s="502">
        <v>-0.23799999999999999</v>
      </c>
      <c r="F82" s="503">
        <v>-4.0000000000000001E-3</v>
      </c>
      <c r="G82" s="508">
        <v>0</v>
      </c>
      <c r="H82" s="509"/>
      <c r="I82" s="399"/>
      <c r="J82" s="500"/>
      <c r="K82" s="1"/>
    </row>
    <row r="83" spans="1:11" ht="35.049999999999997" customHeight="1" x14ac:dyDescent="0.3">
      <c r="A83" s="398" t="s">
        <v>693</v>
      </c>
      <c r="B83" s="17"/>
      <c r="C83" s="406"/>
      <c r="D83" s="501">
        <v>-2.2770000000000001</v>
      </c>
      <c r="E83" s="502">
        <v>-0.247</v>
      </c>
      <c r="F83" s="503">
        <v>-5.0000000000000001E-3</v>
      </c>
      <c r="G83" s="508">
        <v>0</v>
      </c>
      <c r="H83" s="509"/>
      <c r="I83" s="399"/>
      <c r="J83" s="499">
        <v>6.0999999999999999E-2</v>
      </c>
      <c r="K83" s="1"/>
    </row>
    <row r="84" spans="1:11" ht="35.049999999999997" customHeight="1" x14ac:dyDescent="0.3">
      <c r="A84" s="398" t="s">
        <v>694</v>
      </c>
      <c r="B84" s="17"/>
      <c r="C84" s="406"/>
      <c r="D84" s="501">
        <v>-2.258</v>
      </c>
      <c r="E84" s="502">
        <v>-0.23799999999999999</v>
      </c>
      <c r="F84" s="503">
        <v>-4.0000000000000001E-3</v>
      </c>
      <c r="G84" s="508">
        <v>0</v>
      </c>
      <c r="H84" s="509"/>
      <c r="I84" s="399"/>
      <c r="J84" s="499">
        <v>5.8999999999999997E-2</v>
      </c>
      <c r="K84" s="1"/>
    </row>
    <row r="85" spans="1:11" ht="35.049999999999997" customHeight="1" x14ac:dyDescent="0.3">
      <c r="A85" s="398" t="s">
        <v>695</v>
      </c>
      <c r="B85" s="17"/>
      <c r="C85" s="406"/>
      <c r="D85" s="501">
        <v>-3.2989999999999999</v>
      </c>
      <c r="E85" s="502">
        <v>-0.28000000000000003</v>
      </c>
      <c r="F85" s="503">
        <v>-4.0000000000000001E-3</v>
      </c>
      <c r="G85" s="508">
        <v>94</v>
      </c>
      <c r="H85" s="509"/>
      <c r="I85" s="399"/>
      <c r="J85" s="499">
        <v>0.109</v>
      </c>
      <c r="K85" s="1"/>
    </row>
    <row r="86" spans="1:11" ht="35.049999999999997" customHeight="1" x14ac:dyDescent="0.3">
      <c r="A86" s="398" t="s">
        <v>842</v>
      </c>
      <c r="B86" s="17"/>
      <c r="C86" s="406"/>
      <c r="D86" s="501">
        <v>0.89800000000000002</v>
      </c>
      <c r="E86" s="502">
        <v>9.7000000000000003E-2</v>
      </c>
      <c r="F86" s="503">
        <v>2E-3</v>
      </c>
      <c r="G86" s="508">
        <v>2.79</v>
      </c>
      <c r="H86" s="509"/>
      <c r="I86" s="399"/>
      <c r="J86" s="500"/>
      <c r="K86" s="1"/>
    </row>
    <row r="87" spans="1:11" ht="35.049999999999997" customHeight="1" x14ac:dyDescent="0.3">
      <c r="A87" s="398" t="s">
        <v>843</v>
      </c>
      <c r="B87" s="17"/>
      <c r="C87" s="406"/>
      <c r="D87" s="501">
        <v>0.89800000000000002</v>
      </c>
      <c r="E87" s="502">
        <v>9.7000000000000003E-2</v>
      </c>
      <c r="F87" s="503">
        <v>2E-3</v>
      </c>
      <c r="G87" s="509"/>
      <c r="H87" s="509"/>
      <c r="I87" s="399"/>
      <c r="J87" s="500"/>
      <c r="K87" s="1"/>
    </row>
    <row r="88" spans="1:11" ht="35.049999999999997" customHeight="1" x14ac:dyDescent="0.3">
      <c r="A88" s="398" t="s">
        <v>844</v>
      </c>
      <c r="B88" s="17"/>
      <c r="C88" s="406"/>
      <c r="D88" s="501">
        <v>1.1559999999999999</v>
      </c>
      <c r="E88" s="502">
        <v>0.125</v>
      </c>
      <c r="F88" s="503">
        <v>2E-3</v>
      </c>
      <c r="G88" s="508">
        <v>0.86</v>
      </c>
      <c r="H88" s="509"/>
      <c r="I88" s="399"/>
      <c r="J88" s="500"/>
      <c r="K88" s="1"/>
    </row>
    <row r="89" spans="1:11" ht="35.049999999999997" customHeight="1" x14ac:dyDescent="0.3">
      <c r="A89" s="398" t="s">
        <v>845</v>
      </c>
      <c r="B89" s="17"/>
      <c r="C89" s="406"/>
      <c r="D89" s="501">
        <v>1.1559999999999999</v>
      </c>
      <c r="E89" s="502">
        <v>0.125</v>
      </c>
      <c r="F89" s="503">
        <v>2E-3</v>
      </c>
      <c r="G89" s="508">
        <v>3.04</v>
      </c>
      <c r="H89" s="509"/>
      <c r="I89" s="399"/>
      <c r="J89" s="500"/>
      <c r="K89" s="1"/>
    </row>
    <row r="90" spans="1:11" ht="35.049999999999997" customHeight="1" x14ac:dyDescent="0.3">
      <c r="A90" s="398" t="s">
        <v>846</v>
      </c>
      <c r="B90" s="17"/>
      <c r="C90" s="406"/>
      <c r="D90" s="501">
        <v>1.1559999999999999</v>
      </c>
      <c r="E90" s="502">
        <v>0.125</v>
      </c>
      <c r="F90" s="503">
        <v>2E-3</v>
      </c>
      <c r="G90" s="508">
        <v>6.39</v>
      </c>
      <c r="H90" s="509"/>
      <c r="I90" s="399"/>
      <c r="J90" s="500"/>
      <c r="K90" s="1"/>
    </row>
    <row r="91" spans="1:11" ht="35.049999999999997" customHeight="1" x14ac:dyDescent="0.3">
      <c r="A91" s="398" t="s">
        <v>847</v>
      </c>
      <c r="B91" s="17"/>
      <c r="C91" s="406"/>
      <c r="D91" s="501">
        <v>1.1559999999999999</v>
      </c>
      <c r="E91" s="502">
        <v>0.125</v>
      </c>
      <c r="F91" s="503">
        <v>2E-3</v>
      </c>
      <c r="G91" s="508">
        <v>13.2</v>
      </c>
      <c r="H91" s="509"/>
      <c r="I91" s="399"/>
      <c r="J91" s="500"/>
      <c r="K91" s="1"/>
    </row>
    <row r="92" spans="1:11" ht="35.049999999999997" customHeight="1" x14ac:dyDescent="0.3">
      <c r="A92" s="398" t="s">
        <v>848</v>
      </c>
      <c r="B92" s="17"/>
      <c r="C92" s="406"/>
      <c r="D92" s="501">
        <v>1.1559999999999999</v>
      </c>
      <c r="E92" s="502">
        <v>0.125</v>
      </c>
      <c r="F92" s="503">
        <v>2E-3</v>
      </c>
      <c r="G92" s="508">
        <v>37.44</v>
      </c>
      <c r="H92" s="509"/>
      <c r="I92" s="399"/>
      <c r="J92" s="500"/>
      <c r="K92" s="1"/>
    </row>
    <row r="93" spans="1:11" ht="35.049999999999997" customHeight="1" x14ac:dyDescent="0.3">
      <c r="A93" s="398" t="s">
        <v>588</v>
      </c>
      <c r="B93" s="17"/>
      <c r="C93" s="406"/>
      <c r="D93" s="501">
        <v>1.1559999999999999</v>
      </c>
      <c r="E93" s="502">
        <v>0.125</v>
      </c>
      <c r="F93" s="503">
        <v>2E-3</v>
      </c>
      <c r="G93" s="509"/>
      <c r="H93" s="509"/>
      <c r="I93" s="399"/>
      <c r="J93" s="500"/>
      <c r="K93" s="1"/>
    </row>
    <row r="94" spans="1:11" ht="35.049999999999997" customHeight="1" x14ac:dyDescent="0.3">
      <c r="A94" s="398" t="s">
        <v>849</v>
      </c>
      <c r="B94" s="17"/>
      <c r="C94" s="406"/>
      <c r="D94" s="501">
        <v>0.75600000000000001</v>
      </c>
      <c r="E94" s="502">
        <v>7.8E-2</v>
      </c>
      <c r="F94" s="503">
        <v>1E-3</v>
      </c>
      <c r="G94" s="508">
        <v>2.94</v>
      </c>
      <c r="H94" s="508">
        <v>0.3</v>
      </c>
      <c r="I94" s="400">
        <v>0.44</v>
      </c>
      <c r="J94" s="499">
        <v>1.9E-2</v>
      </c>
      <c r="K94" s="1"/>
    </row>
    <row r="95" spans="1:11" ht="35.049999999999997" customHeight="1" x14ac:dyDescent="0.3">
      <c r="A95" s="398" t="s">
        <v>850</v>
      </c>
      <c r="B95" s="17"/>
      <c r="C95" s="406"/>
      <c r="D95" s="501">
        <v>0.75600000000000001</v>
      </c>
      <c r="E95" s="502">
        <v>7.8E-2</v>
      </c>
      <c r="F95" s="503">
        <v>1E-3</v>
      </c>
      <c r="G95" s="508">
        <v>68.55</v>
      </c>
      <c r="H95" s="508">
        <v>0.3</v>
      </c>
      <c r="I95" s="400">
        <v>0.44</v>
      </c>
      <c r="J95" s="499">
        <v>1.9E-2</v>
      </c>
      <c r="K95" s="1"/>
    </row>
    <row r="96" spans="1:11" ht="35.049999999999997" customHeight="1" x14ac:dyDescent="0.3">
      <c r="A96" s="398" t="s">
        <v>851</v>
      </c>
      <c r="B96" s="17"/>
      <c r="C96" s="406"/>
      <c r="D96" s="501">
        <v>0.75600000000000001</v>
      </c>
      <c r="E96" s="502">
        <v>7.8E-2</v>
      </c>
      <c r="F96" s="503">
        <v>1E-3</v>
      </c>
      <c r="G96" s="508">
        <v>118.82</v>
      </c>
      <c r="H96" s="508">
        <v>0.3</v>
      </c>
      <c r="I96" s="400">
        <v>0.44</v>
      </c>
      <c r="J96" s="499">
        <v>1.9E-2</v>
      </c>
      <c r="K96" s="1"/>
    </row>
    <row r="97" spans="1:11" ht="35.049999999999997" customHeight="1" x14ac:dyDescent="0.3">
      <c r="A97" s="398" t="s">
        <v>852</v>
      </c>
      <c r="B97" s="17"/>
      <c r="C97" s="406"/>
      <c r="D97" s="501">
        <v>0.75600000000000001</v>
      </c>
      <c r="E97" s="502">
        <v>7.8E-2</v>
      </c>
      <c r="F97" s="503">
        <v>1E-3</v>
      </c>
      <c r="G97" s="508">
        <v>200.03</v>
      </c>
      <c r="H97" s="508">
        <v>0.3</v>
      </c>
      <c r="I97" s="400">
        <v>0.44</v>
      </c>
      <c r="J97" s="499">
        <v>1.9E-2</v>
      </c>
      <c r="K97" s="1"/>
    </row>
    <row r="98" spans="1:11" ht="35.049999999999997" customHeight="1" x14ac:dyDescent="0.3">
      <c r="A98" s="398" t="s">
        <v>853</v>
      </c>
      <c r="B98" s="17"/>
      <c r="C98" s="406"/>
      <c r="D98" s="501">
        <v>0.75600000000000001</v>
      </c>
      <c r="E98" s="502">
        <v>7.8E-2</v>
      </c>
      <c r="F98" s="503">
        <v>1E-3</v>
      </c>
      <c r="G98" s="508">
        <v>416.13</v>
      </c>
      <c r="H98" s="508">
        <v>0.3</v>
      </c>
      <c r="I98" s="400">
        <v>0.44</v>
      </c>
      <c r="J98" s="499">
        <v>1.9E-2</v>
      </c>
      <c r="K98" s="1"/>
    </row>
    <row r="99" spans="1:11" ht="35.049999999999997" customHeight="1" x14ac:dyDescent="0.3">
      <c r="A99" s="398" t="s">
        <v>854</v>
      </c>
      <c r="B99" s="17"/>
      <c r="C99" s="406"/>
      <c r="D99" s="501">
        <v>0.69399999999999995</v>
      </c>
      <c r="E99" s="502">
        <v>5.8999999999999997E-2</v>
      </c>
      <c r="F99" s="503">
        <v>1E-3</v>
      </c>
      <c r="G99" s="508">
        <v>1.73</v>
      </c>
      <c r="H99" s="508">
        <v>0.88</v>
      </c>
      <c r="I99" s="400">
        <v>1</v>
      </c>
      <c r="J99" s="499">
        <v>1.2999999999999999E-2</v>
      </c>
      <c r="K99" s="1"/>
    </row>
    <row r="100" spans="1:11" ht="35.049999999999997" customHeight="1" x14ac:dyDescent="0.3">
      <c r="A100" s="398" t="s">
        <v>855</v>
      </c>
      <c r="B100" s="17"/>
      <c r="C100" s="406"/>
      <c r="D100" s="501">
        <v>0.69399999999999995</v>
      </c>
      <c r="E100" s="502">
        <v>5.8999999999999997E-2</v>
      </c>
      <c r="F100" s="503">
        <v>1E-3</v>
      </c>
      <c r="G100" s="508">
        <v>106.65</v>
      </c>
      <c r="H100" s="508">
        <v>0.88</v>
      </c>
      <c r="I100" s="400">
        <v>1</v>
      </c>
      <c r="J100" s="499">
        <v>1.2999999999999999E-2</v>
      </c>
      <c r="K100" s="1"/>
    </row>
    <row r="101" spans="1:11" ht="35.049999999999997" customHeight="1" x14ac:dyDescent="0.3">
      <c r="A101" s="398" t="s">
        <v>856</v>
      </c>
      <c r="B101" s="17"/>
      <c r="C101" s="406"/>
      <c r="D101" s="501">
        <v>0.69399999999999995</v>
      </c>
      <c r="E101" s="502">
        <v>5.8999999999999997E-2</v>
      </c>
      <c r="F101" s="503">
        <v>1E-3</v>
      </c>
      <c r="G101" s="508">
        <v>187.04</v>
      </c>
      <c r="H101" s="508">
        <v>0.88</v>
      </c>
      <c r="I101" s="400">
        <v>1</v>
      </c>
      <c r="J101" s="499">
        <v>1.2999999999999999E-2</v>
      </c>
      <c r="K101" s="1"/>
    </row>
    <row r="102" spans="1:11" ht="35.049999999999997" customHeight="1" x14ac:dyDescent="0.3">
      <c r="A102" s="398" t="s">
        <v>857</v>
      </c>
      <c r="B102" s="17"/>
      <c r="C102" s="406"/>
      <c r="D102" s="501">
        <v>0.69399999999999995</v>
      </c>
      <c r="E102" s="502">
        <v>5.8999999999999997E-2</v>
      </c>
      <c r="F102" s="503">
        <v>1E-3</v>
      </c>
      <c r="G102" s="508">
        <v>316.89999999999998</v>
      </c>
      <c r="H102" s="508">
        <v>0.88</v>
      </c>
      <c r="I102" s="400">
        <v>1</v>
      </c>
      <c r="J102" s="499">
        <v>1.2999999999999999E-2</v>
      </c>
      <c r="K102" s="1"/>
    </row>
    <row r="103" spans="1:11" ht="35.049999999999997" customHeight="1" x14ac:dyDescent="0.3">
      <c r="A103" s="398" t="s">
        <v>858</v>
      </c>
      <c r="B103" s="17"/>
      <c r="C103" s="406"/>
      <c r="D103" s="501">
        <v>0.69399999999999995</v>
      </c>
      <c r="E103" s="502">
        <v>5.8999999999999997E-2</v>
      </c>
      <c r="F103" s="503">
        <v>1E-3</v>
      </c>
      <c r="G103" s="508">
        <v>662.46</v>
      </c>
      <c r="H103" s="508">
        <v>0.88</v>
      </c>
      <c r="I103" s="400">
        <v>1</v>
      </c>
      <c r="J103" s="499">
        <v>1.2999999999999999E-2</v>
      </c>
      <c r="K103" s="1"/>
    </row>
    <row r="104" spans="1:11" ht="35.049999999999997" customHeight="1" x14ac:dyDescent="0.3">
      <c r="A104" s="398" t="s">
        <v>859</v>
      </c>
      <c r="B104" s="17"/>
      <c r="C104" s="406"/>
      <c r="D104" s="501">
        <v>0.56399999999999995</v>
      </c>
      <c r="E104" s="502">
        <v>4.2999999999999997E-2</v>
      </c>
      <c r="F104" s="503">
        <v>1E-3</v>
      </c>
      <c r="G104" s="508">
        <v>27.16</v>
      </c>
      <c r="H104" s="508">
        <v>1.1000000000000001</v>
      </c>
      <c r="I104" s="400">
        <v>1.35</v>
      </c>
      <c r="J104" s="499">
        <v>8.9999999999999993E-3</v>
      </c>
      <c r="K104" s="1"/>
    </row>
    <row r="105" spans="1:11" ht="35.049999999999997" customHeight="1" x14ac:dyDescent="0.3">
      <c r="A105" s="398" t="s">
        <v>860</v>
      </c>
      <c r="B105" s="17"/>
      <c r="C105" s="406"/>
      <c r="D105" s="501">
        <v>0.56399999999999995</v>
      </c>
      <c r="E105" s="502">
        <v>4.2999999999999997E-2</v>
      </c>
      <c r="F105" s="503">
        <v>1E-3</v>
      </c>
      <c r="G105" s="508">
        <v>638.79</v>
      </c>
      <c r="H105" s="508">
        <v>1.1000000000000001</v>
      </c>
      <c r="I105" s="400">
        <v>1.35</v>
      </c>
      <c r="J105" s="499">
        <v>8.9999999999999993E-3</v>
      </c>
      <c r="K105" s="1"/>
    </row>
    <row r="106" spans="1:11" ht="35.049999999999997" customHeight="1" x14ac:dyDescent="0.3">
      <c r="A106" s="398" t="s">
        <v>861</v>
      </c>
      <c r="B106" s="17"/>
      <c r="C106" s="406"/>
      <c r="D106" s="501">
        <v>0.56399999999999995</v>
      </c>
      <c r="E106" s="502">
        <v>4.2999999999999997E-2</v>
      </c>
      <c r="F106" s="503">
        <v>1E-3</v>
      </c>
      <c r="G106" s="508">
        <v>1919.64</v>
      </c>
      <c r="H106" s="508">
        <v>1.1000000000000001</v>
      </c>
      <c r="I106" s="400">
        <v>1.35</v>
      </c>
      <c r="J106" s="499">
        <v>8.9999999999999993E-3</v>
      </c>
      <c r="K106" s="1"/>
    </row>
    <row r="107" spans="1:11" ht="35.049999999999997" customHeight="1" x14ac:dyDescent="0.3">
      <c r="A107" s="398" t="s">
        <v>862</v>
      </c>
      <c r="B107" s="17"/>
      <c r="C107" s="406"/>
      <c r="D107" s="501">
        <v>0.56399999999999995</v>
      </c>
      <c r="E107" s="502">
        <v>4.2999999999999997E-2</v>
      </c>
      <c r="F107" s="503">
        <v>1E-3</v>
      </c>
      <c r="G107" s="508">
        <v>3918.96</v>
      </c>
      <c r="H107" s="508">
        <v>1.1000000000000001</v>
      </c>
      <c r="I107" s="400">
        <v>1.35</v>
      </c>
      <c r="J107" s="499">
        <v>8.9999999999999993E-3</v>
      </c>
      <c r="K107" s="1"/>
    </row>
    <row r="108" spans="1:11" ht="35.049999999999997" customHeight="1" x14ac:dyDescent="0.3">
      <c r="A108" s="398" t="s">
        <v>863</v>
      </c>
      <c r="B108" s="17"/>
      <c r="C108" s="406"/>
      <c r="D108" s="501">
        <v>0.56399999999999995</v>
      </c>
      <c r="E108" s="502">
        <v>4.2999999999999997E-2</v>
      </c>
      <c r="F108" s="503">
        <v>1E-3</v>
      </c>
      <c r="G108" s="508">
        <v>10163.540000000001</v>
      </c>
      <c r="H108" s="508">
        <v>1.1000000000000001</v>
      </c>
      <c r="I108" s="400">
        <v>1.35</v>
      </c>
      <c r="J108" s="499">
        <v>8.9999999999999993E-3</v>
      </c>
      <c r="K108" s="1"/>
    </row>
    <row r="109" spans="1:11" ht="35.049999999999997" customHeight="1" x14ac:dyDescent="0.3">
      <c r="A109" s="398" t="s">
        <v>589</v>
      </c>
      <c r="B109" s="17"/>
      <c r="C109" s="406"/>
      <c r="D109" s="504">
        <v>2.5569999999999999</v>
      </c>
      <c r="E109" s="505">
        <v>0.36599999999999999</v>
      </c>
      <c r="F109" s="503">
        <v>0.27400000000000002</v>
      </c>
      <c r="G109" s="509"/>
      <c r="H109" s="509"/>
      <c r="I109" s="399"/>
      <c r="J109" s="500"/>
      <c r="K109" s="1"/>
    </row>
    <row r="110" spans="1:11" ht="35.049999999999997" customHeight="1" x14ac:dyDescent="0.3">
      <c r="A110" s="398" t="s">
        <v>696</v>
      </c>
      <c r="B110" s="17"/>
      <c r="C110" s="406"/>
      <c r="D110" s="501">
        <v>-1.109</v>
      </c>
      <c r="E110" s="502">
        <v>-0.12</v>
      </c>
      <c r="F110" s="503">
        <v>-2E-3</v>
      </c>
      <c r="G110" s="508">
        <v>0</v>
      </c>
      <c r="H110" s="509"/>
      <c r="I110" s="399"/>
      <c r="J110" s="500"/>
      <c r="K110" s="1"/>
    </row>
    <row r="111" spans="1:11" ht="35.049999999999997" customHeight="1" x14ac:dyDescent="0.3">
      <c r="A111" s="398" t="s">
        <v>697</v>
      </c>
      <c r="B111" s="17"/>
      <c r="C111" s="406"/>
      <c r="D111" s="501">
        <v>-1.1000000000000001</v>
      </c>
      <c r="E111" s="502">
        <v>-0.11600000000000001</v>
      </c>
      <c r="F111" s="503">
        <v>-2E-3</v>
      </c>
      <c r="G111" s="508">
        <v>0</v>
      </c>
      <c r="H111" s="509"/>
      <c r="I111" s="399"/>
      <c r="J111" s="500"/>
      <c r="K111" s="1"/>
    </row>
    <row r="112" spans="1:11" ht="35.049999999999997" customHeight="1" x14ac:dyDescent="0.3">
      <c r="A112" s="398" t="s">
        <v>698</v>
      </c>
      <c r="B112" s="17"/>
      <c r="C112" s="406"/>
      <c r="D112" s="501">
        <v>-1.109</v>
      </c>
      <c r="E112" s="502">
        <v>-0.12</v>
      </c>
      <c r="F112" s="503">
        <v>-2E-3</v>
      </c>
      <c r="G112" s="508">
        <v>0</v>
      </c>
      <c r="H112" s="509"/>
      <c r="I112" s="399"/>
      <c r="J112" s="499">
        <v>0.03</v>
      </c>
      <c r="K112" s="1"/>
    </row>
    <row r="113" spans="1:11" ht="35.049999999999997" customHeight="1" x14ac:dyDescent="0.3">
      <c r="A113" s="398" t="s">
        <v>699</v>
      </c>
      <c r="B113" s="17"/>
      <c r="C113" s="406"/>
      <c r="D113" s="501">
        <v>-1.1000000000000001</v>
      </c>
      <c r="E113" s="502">
        <v>-0.11600000000000001</v>
      </c>
      <c r="F113" s="503">
        <v>-2E-3</v>
      </c>
      <c r="G113" s="508">
        <v>0</v>
      </c>
      <c r="H113" s="509"/>
      <c r="I113" s="399"/>
      <c r="J113" s="499">
        <v>2.9000000000000001E-2</v>
      </c>
      <c r="K113" s="1"/>
    </row>
    <row r="114" spans="1:11" ht="35.049999999999997" customHeight="1" x14ac:dyDescent="0.3">
      <c r="A114" s="398" t="s">
        <v>700</v>
      </c>
      <c r="B114" s="17"/>
      <c r="C114" s="406"/>
      <c r="D114" s="501">
        <v>-1.607</v>
      </c>
      <c r="E114" s="502">
        <v>-0.13600000000000001</v>
      </c>
      <c r="F114" s="503">
        <v>-2E-3</v>
      </c>
      <c r="G114" s="508">
        <v>45.79</v>
      </c>
      <c r="H114" s="509"/>
      <c r="I114" s="399"/>
      <c r="J114" s="499">
        <v>5.2999999999999999E-2</v>
      </c>
      <c r="K114" s="1"/>
    </row>
    <row r="115" spans="1:11" ht="35.049999999999997" customHeight="1" x14ac:dyDescent="0.3">
      <c r="A115" s="398" t="s">
        <v>864</v>
      </c>
      <c r="B115" s="17"/>
      <c r="C115" s="406"/>
      <c r="D115" s="501">
        <v>0.16400000000000001</v>
      </c>
      <c r="E115" s="502">
        <v>1.7999999999999999E-2</v>
      </c>
      <c r="F115" s="503">
        <v>0</v>
      </c>
      <c r="G115" s="508">
        <v>0.75</v>
      </c>
      <c r="H115" s="509"/>
      <c r="I115" s="399"/>
      <c r="J115" s="500"/>
      <c r="K115" s="1"/>
    </row>
    <row r="116" spans="1:11" ht="35.049999999999997" customHeight="1" x14ac:dyDescent="0.3">
      <c r="A116" s="398" t="s">
        <v>865</v>
      </c>
      <c r="B116" s="17"/>
      <c r="C116" s="406"/>
      <c r="D116" s="501">
        <v>0.16400000000000001</v>
      </c>
      <c r="E116" s="502">
        <v>1.7999999999999999E-2</v>
      </c>
      <c r="F116" s="503">
        <v>0</v>
      </c>
      <c r="G116" s="509"/>
      <c r="H116" s="509"/>
      <c r="I116" s="399"/>
      <c r="J116" s="500"/>
      <c r="K116" s="1"/>
    </row>
    <row r="117" spans="1:11" ht="35.049999999999997" customHeight="1" x14ac:dyDescent="0.3">
      <c r="A117" s="398" t="s">
        <v>866</v>
      </c>
      <c r="B117" s="17"/>
      <c r="C117" s="406"/>
      <c r="D117" s="501">
        <v>0.21199999999999999</v>
      </c>
      <c r="E117" s="502">
        <v>2.3E-2</v>
      </c>
      <c r="F117" s="503">
        <v>0</v>
      </c>
      <c r="G117" s="508">
        <v>0.28000000000000003</v>
      </c>
      <c r="H117" s="509"/>
      <c r="I117" s="399"/>
      <c r="J117" s="500"/>
      <c r="K117" s="1"/>
    </row>
    <row r="118" spans="1:11" ht="35.049999999999997" customHeight="1" x14ac:dyDescent="0.3">
      <c r="A118" s="398" t="s">
        <v>867</v>
      </c>
      <c r="B118" s="17"/>
      <c r="C118" s="406"/>
      <c r="D118" s="501">
        <v>0.21199999999999999</v>
      </c>
      <c r="E118" s="502">
        <v>2.3E-2</v>
      </c>
      <c r="F118" s="503">
        <v>0</v>
      </c>
      <c r="G118" s="508">
        <v>0.68</v>
      </c>
      <c r="H118" s="509"/>
      <c r="I118" s="399"/>
      <c r="J118" s="500"/>
      <c r="K118" s="1"/>
    </row>
    <row r="119" spans="1:11" ht="35.049999999999997" customHeight="1" x14ac:dyDescent="0.3">
      <c r="A119" s="398" t="s">
        <v>868</v>
      </c>
      <c r="B119" s="17"/>
      <c r="C119" s="406"/>
      <c r="D119" s="501">
        <v>0.21199999999999999</v>
      </c>
      <c r="E119" s="502">
        <v>2.3E-2</v>
      </c>
      <c r="F119" s="503">
        <v>0</v>
      </c>
      <c r="G119" s="508">
        <v>1.3</v>
      </c>
      <c r="H119" s="509"/>
      <c r="I119" s="399"/>
      <c r="J119" s="500"/>
      <c r="K119" s="1"/>
    </row>
    <row r="120" spans="1:11" ht="35.049999999999997" customHeight="1" x14ac:dyDescent="0.3">
      <c r="A120" s="398" t="s">
        <v>869</v>
      </c>
      <c r="B120" s="17"/>
      <c r="C120" s="406"/>
      <c r="D120" s="501">
        <v>0.21199999999999999</v>
      </c>
      <c r="E120" s="502">
        <v>2.3E-2</v>
      </c>
      <c r="F120" s="503">
        <v>0</v>
      </c>
      <c r="G120" s="508">
        <v>2.54</v>
      </c>
      <c r="H120" s="509"/>
      <c r="I120" s="399"/>
      <c r="J120" s="500"/>
      <c r="K120" s="1"/>
    </row>
    <row r="121" spans="1:11" ht="35.049999999999997" customHeight="1" x14ac:dyDescent="0.3">
      <c r="A121" s="398" t="s">
        <v>870</v>
      </c>
      <c r="B121" s="17"/>
      <c r="C121" s="406"/>
      <c r="D121" s="501">
        <v>0.21199999999999999</v>
      </c>
      <c r="E121" s="502">
        <v>2.3E-2</v>
      </c>
      <c r="F121" s="503">
        <v>0</v>
      </c>
      <c r="G121" s="508">
        <v>6.98</v>
      </c>
      <c r="H121" s="509"/>
      <c r="I121" s="399"/>
      <c r="J121" s="500"/>
      <c r="K121" s="1"/>
    </row>
    <row r="122" spans="1:11" ht="35.049999999999997" customHeight="1" x14ac:dyDescent="0.3">
      <c r="A122" s="398" t="s">
        <v>590</v>
      </c>
      <c r="B122" s="17"/>
      <c r="C122" s="406"/>
      <c r="D122" s="501">
        <v>0.21199999999999999</v>
      </c>
      <c r="E122" s="502">
        <v>2.3E-2</v>
      </c>
      <c r="F122" s="503">
        <v>0</v>
      </c>
      <c r="G122" s="509"/>
      <c r="H122" s="509"/>
      <c r="I122" s="399"/>
      <c r="J122" s="500"/>
      <c r="K122" s="1"/>
    </row>
    <row r="123" spans="1:11" ht="35.049999999999997" customHeight="1" x14ac:dyDescent="0.3">
      <c r="A123" s="398" t="s">
        <v>871</v>
      </c>
      <c r="B123" s="17"/>
      <c r="C123" s="406"/>
      <c r="D123" s="501">
        <v>0.13800000000000001</v>
      </c>
      <c r="E123" s="502">
        <v>1.4E-2</v>
      </c>
      <c r="F123" s="503">
        <v>0</v>
      </c>
      <c r="G123" s="508">
        <v>0.66</v>
      </c>
      <c r="H123" s="508">
        <v>0.05</v>
      </c>
      <c r="I123" s="400">
        <v>0.08</v>
      </c>
      <c r="J123" s="499">
        <v>4.0000000000000001E-3</v>
      </c>
      <c r="K123" s="1"/>
    </row>
    <row r="124" spans="1:11" ht="35.049999999999997" customHeight="1" x14ac:dyDescent="0.3">
      <c r="A124" s="398" t="s">
        <v>872</v>
      </c>
      <c r="B124" s="17"/>
      <c r="C124" s="406"/>
      <c r="D124" s="501">
        <v>0.13800000000000001</v>
      </c>
      <c r="E124" s="502">
        <v>1.4E-2</v>
      </c>
      <c r="F124" s="503">
        <v>0</v>
      </c>
      <c r="G124" s="508">
        <v>12.68</v>
      </c>
      <c r="H124" s="508">
        <v>0.05</v>
      </c>
      <c r="I124" s="400">
        <v>0.08</v>
      </c>
      <c r="J124" s="499">
        <v>4.0000000000000001E-3</v>
      </c>
      <c r="K124" s="1"/>
    </row>
    <row r="125" spans="1:11" ht="35.049999999999997" customHeight="1" x14ac:dyDescent="0.3">
      <c r="A125" s="398" t="s">
        <v>873</v>
      </c>
      <c r="B125" s="17"/>
      <c r="C125" s="406"/>
      <c r="D125" s="501">
        <v>0.13800000000000001</v>
      </c>
      <c r="E125" s="502">
        <v>1.4E-2</v>
      </c>
      <c r="F125" s="503">
        <v>0</v>
      </c>
      <c r="G125" s="508">
        <v>21.88</v>
      </c>
      <c r="H125" s="508">
        <v>0.05</v>
      </c>
      <c r="I125" s="400">
        <v>0.08</v>
      </c>
      <c r="J125" s="499">
        <v>4.0000000000000001E-3</v>
      </c>
      <c r="K125" s="1"/>
    </row>
    <row r="126" spans="1:11" ht="35.049999999999997" customHeight="1" x14ac:dyDescent="0.3">
      <c r="A126" s="398" t="s">
        <v>874</v>
      </c>
      <c r="B126" s="17"/>
      <c r="C126" s="406"/>
      <c r="D126" s="501">
        <v>0.13800000000000001</v>
      </c>
      <c r="E126" s="502">
        <v>1.4E-2</v>
      </c>
      <c r="F126" s="503">
        <v>0</v>
      </c>
      <c r="G126" s="508">
        <v>36.75</v>
      </c>
      <c r="H126" s="508">
        <v>0.05</v>
      </c>
      <c r="I126" s="400">
        <v>0.08</v>
      </c>
      <c r="J126" s="499">
        <v>4.0000000000000001E-3</v>
      </c>
      <c r="K126" s="1"/>
    </row>
    <row r="127" spans="1:11" ht="35.049999999999997" customHeight="1" x14ac:dyDescent="0.3">
      <c r="A127" s="398" t="s">
        <v>875</v>
      </c>
      <c r="B127" s="17"/>
      <c r="C127" s="406"/>
      <c r="D127" s="501">
        <v>0.13800000000000001</v>
      </c>
      <c r="E127" s="502">
        <v>1.4E-2</v>
      </c>
      <c r="F127" s="503">
        <v>0</v>
      </c>
      <c r="G127" s="508">
        <v>76.31</v>
      </c>
      <c r="H127" s="508">
        <v>0.05</v>
      </c>
      <c r="I127" s="400">
        <v>0.08</v>
      </c>
      <c r="J127" s="499">
        <v>4.0000000000000001E-3</v>
      </c>
      <c r="K127" s="1"/>
    </row>
    <row r="128" spans="1:11" ht="35.049999999999997" customHeight="1" x14ac:dyDescent="0.3">
      <c r="A128" s="398" t="s">
        <v>876</v>
      </c>
      <c r="B128" s="17"/>
      <c r="C128" s="406"/>
      <c r="D128" s="501">
        <v>0.127</v>
      </c>
      <c r="E128" s="502">
        <v>1.0999999999999999E-2</v>
      </c>
      <c r="F128" s="503">
        <v>0</v>
      </c>
      <c r="G128" s="508">
        <v>0.44</v>
      </c>
      <c r="H128" s="508">
        <v>0.16</v>
      </c>
      <c r="I128" s="400">
        <v>0.18</v>
      </c>
      <c r="J128" s="499">
        <v>2E-3</v>
      </c>
      <c r="K128" s="1"/>
    </row>
    <row r="129" spans="1:11" ht="35.049999999999997" customHeight="1" x14ac:dyDescent="0.3">
      <c r="A129" s="398" t="s">
        <v>877</v>
      </c>
      <c r="B129" s="17"/>
      <c r="C129" s="406"/>
      <c r="D129" s="501">
        <v>0.127</v>
      </c>
      <c r="E129" s="502">
        <v>1.0999999999999999E-2</v>
      </c>
      <c r="F129" s="503">
        <v>0</v>
      </c>
      <c r="G129" s="508">
        <v>19.649999999999999</v>
      </c>
      <c r="H129" s="508">
        <v>0.16</v>
      </c>
      <c r="I129" s="400">
        <v>0.18</v>
      </c>
      <c r="J129" s="499">
        <v>2E-3</v>
      </c>
      <c r="K129" s="1"/>
    </row>
    <row r="130" spans="1:11" ht="35.049999999999997" customHeight="1" x14ac:dyDescent="0.3">
      <c r="A130" s="398" t="s">
        <v>878</v>
      </c>
      <c r="B130" s="17"/>
      <c r="C130" s="406"/>
      <c r="D130" s="501">
        <v>0.127</v>
      </c>
      <c r="E130" s="502">
        <v>1.0999999999999999E-2</v>
      </c>
      <c r="F130" s="503">
        <v>0</v>
      </c>
      <c r="G130" s="508">
        <v>34.369999999999997</v>
      </c>
      <c r="H130" s="508">
        <v>0.16</v>
      </c>
      <c r="I130" s="400">
        <v>0.18</v>
      </c>
      <c r="J130" s="499">
        <v>2E-3</v>
      </c>
      <c r="K130" s="1"/>
    </row>
    <row r="131" spans="1:11" ht="35.049999999999997" customHeight="1" x14ac:dyDescent="0.3">
      <c r="A131" s="398" t="s">
        <v>879</v>
      </c>
      <c r="B131" s="17"/>
      <c r="C131" s="406"/>
      <c r="D131" s="501">
        <v>0.127</v>
      </c>
      <c r="E131" s="502">
        <v>1.0999999999999999E-2</v>
      </c>
      <c r="F131" s="503">
        <v>0</v>
      </c>
      <c r="G131" s="508">
        <v>58.14</v>
      </c>
      <c r="H131" s="508">
        <v>0.16</v>
      </c>
      <c r="I131" s="400">
        <v>0.18</v>
      </c>
      <c r="J131" s="499">
        <v>2E-3</v>
      </c>
      <c r="K131" s="1"/>
    </row>
    <row r="132" spans="1:11" ht="35.049999999999997" customHeight="1" x14ac:dyDescent="0.3">
      <c r="A132" s="398" t="s">
        <v>880</v>
      </c>
      <c r="B132" s="17"/>
      <c r="C132" s="406"/>
      <c r="D132" s="501">
        <v>0.127</v>
      </c>
      <c r="E132" s="502">
        <v>1.0999999999999999E-2</v>
      </c>
      <c r="F132" s="503">
        <v>0</v>
      </c>
      <c r="G132" s="508">
        <v>121.41</v>
      </c>
      <c r="H132" s="508">
        <v>0.16</v>
      </c>
      <c r="I132" s="400">
        <v>0.18</v>
      </c>
      <c r="J132" s="499">
        <v>2E-3</v>
      </c>
      <c r="K132" s="1"/>
    </row>
    <row r="133" spans="1:11" ht="35.049999999999997" customHeight="1" x14ac:dyDescent="0.3">
      <c r="A133" s="398" t="s">
        <v>881</v>
      </c>
      <c r="B133" s="17"/>
      <c r="C133" s="406"/>
      <c r="D133" s="501">
        <v>0.10299999999999999</v>
      </c>
      <c r="E133" s="502">
        <v>8.0000000000000002E-3</v>
      </c>
      <c r="F133" s="503">
        <v>0</v>
      </c>
      <c r="G133" s="508">
        <v>5.0999999999999996</v>
      </c>
      <c r="H133" s="508">
        <v>0.2</v>
      </c>
      <c r="I133" s="400">
        <v>0.25</v>
      </c>
      <c r="J133" s="499">
        <v>2E-3</v>
      </c>
      <c r="K133" s="1"/>
    </row>
    <row r="134" spans="1:11" ht="35.049999999999997" customHeight="1" x14ac:dyDescent="0.3">
      <c r="A134" s="398" t="s">
        <v>882</v>
      </c>
      <c r="B134" s="17"/>
      <c r="C134" s="406"/>
      <c r="D134" s="501">
        <v>0.10299999999999999</v>
      </c>
      <c r="E134" s="502">
        <v>8.0000000000000002E-3</v>
      </c>
      <c r="F134" s="503">
        <v>0</v>
      </c>
      <c r="G134" s="508">
        <v>117.07</v>
      </c>
      <c r="H134" s="508">
        <v>0.2</v>
      </c>
      <c r="I134" s="400">
        <v>0.25</v>
      </c>
      <c r="J134" s="499">
        <v>2E-3</v>
      </c>
      <c r="K134" s="1"/>
    </row>
    <row r="135" spans="1:11" ht="35.049999999999997" customHeight="1" x14ac:dyDescent="0.3">
      <c r="A135" s="398" t="s">
        <v>883</v>
      </c>
      <c r="B135" s="17"/>
      <c r="C135" s="406"/>
      <c r="D135" s="501">
        <v>0.10299999999999999</v>
      </c>
      <c r="E135" s="502">
        <v>8.0000000000000002E-3</v>
      </c>
      <c r="F135" s="503">
        <v>0</v>
      </c>
      <c r="G135" s="508">
        <v>351.57</v>
      </c>
      <c r="H135" s="508">
        <v>0.2</v>
      </c>
      <c r="I135" s="400">
        <v>0.25</v>
      </c>
      <c r="J135" s="499">
        <v>2E-3</v>
      </c>
      <c r="K135" s="1"/>
    </row>
    <row r="136" spans="1:11" ht="35.049999999999997" customHeight="1" x14ac:dyDescent="0.3">
      <c r="A136" s="398" t="s">
        <v>884</v>
      </c>
      <c r="B136" s="17"/>
      <c r="C136" s="406"/>
      <c r="D136" s="501">
        <v>0.10299999999999999</v>
      </c>
      <c r="E136" s="502">
        <v>8.0000000000000002E-3</v>
      </c>
      <c r="F136" s="503">
        <v>0</v>
      </c>
      <c r="G136" s="508">
        <v>717.59</v>
      </c>
      <c r="H136" s="508">
        <v>0.2</v>
      </c>
      <c r="I136" s="400">
        <v>0.25</v>
      </c>
      <c r="J136" s="499">
        <v>2E-3</v>
      </c>
      <c r="K136" s="1"/>
    </row>
    <row r="137" spans="1:11" ht="35.049999999999997" customHeight="1" x14ac:dyDescent="0.3">
      <c r="A137" s="398" t="s">
        <v>885</v>
      </c>
      <c r="B137" s="17"/>
      <c r="C137" s="406"/>
      <c r="D137" s="501">
        <v>0.10299999999999999</v>
      </c>
      <c r="E137" s="502">
        <v>8.0000000000000002E-3</v>
      </c>
      <c r="F137" s="503">
        <v>0</v>
      </c>
      <c r="G137" s="508">
        <v>1860.82</v>
      </c>
      <c r="H137" s="508">
        <v>0.2</v>
      </c>
      <c r="I137" s="400">
        <v>0.25</v>
      </c>
      <c r="J137" s="499">
        <v>2E-3</v>
      </c>
      <c r="K137" s="1"/>
    </row>
    <row r="138" spans="1:11" ht="35.049999999999997" customHeight="1" x14ac:dyDescent="0.3">
      <c r="A138" s="398" t="s">
        <v>591</v>
      </c>
      <c r="B138" s="17"/>
      <c r="C138" s="406"/>
      <c r="D138" s="504">
        <v>0.46800000000000003</v>
      </c>
      <c r="E138" s="505">
        <v>6.7000000000000004E-2</v>
      </c>
      <c r="F138" s="503">
        <v>0.05</v>
      </c>
      <c r="G138" s="509"/>
      <c r="H138" s="509"/>
      <c r="I138" s="399"/>
      <c r="J138" s="500"/>
      <c r="K138" s="1"/>
    </row>
    <row r="139" spans="1:11" ht="35.049999999999997" customHeight="1" x14ac:dyDescent="0.3">
      <c r="A139" s="398" t="s">
        <v>701</v>
      </c>
      <c r="B139" s="17"/>
      <c r="C139" s="406"/>
      <c r="D139" s="501">
        <v>-0.20300000000000001</v>
      </c>
      <c r="E139" s="502">
        <v>-2.1999999999999999E-2</v>
      </c>
      <c r="F139" s="503">
        <v>0</v>
      </c>
      <c r="G139" s="508">
        <v>0</v>
      </c>
      <c r="H139" s="509"/>
      <c r="I139" s="399"/>
      <c r="J139" s="500"/>
      <c r="K139" s="1"/>
    </row>
    <row r="140" spans="1:11" ht="35.049999999999997" customHeight="1" x14ac:dyDescent="0.3">
      <c r="A140" s="398" t="s">
        <v>702</v>
      </c>
      <c r="B140" s="17"/>
      <c r="C140" s="406"/>
      <c r="D140" s="501">
        <v>-0.20100000000000001</v>
      </c>
      <c r="E140" s="502">
        <v>-2.1000000000000001E-2</v>
      </c>
      <c r="F140" s="503">
        <v>0</v>
      </c>
      <c r="G140" s="508">
        <v>0</v>
      </c>
      <c r="H140" s="509"/>
      <c r="I140" s="399"/>
      <c r="J140" s="500"/>
      <c r="K140" s="1"/>
    </row>
    <row r="141" spans="1:11" ht="35.049999999999997" customHeight="1" x14ac:dyDescent="0.3">
      <c r="A141" s="398" t="s">
        <v>703</v>
      </c>
      <c r="B141" s="17"/>
      <c r="C141" s="406"/>
      <c r="D141" s="501">
        <v>-0.20300000000000001</v>
      </c>
      <c r="E141" s="502">
        <v>-2.1999999999999999E-2</v>
      </c>
      <c r="F141" s="503">
        <v>0</v>
      </c>
      <c r="G141" s="508">
        <v>0</v>
      </c>
      <c r="H141" s="509"/>
      <c r="I141" s="399"/>
      <c r="J141" s="499">
        <v>5.0000000000000001E-3</v>
      </c>
    </row>
    <row r="142" spans="1:11" ht="35.049999999999997" customHeight="1" x14ac:dyDescent="0.3">
      <c r="A142" s="398" t="s">
        <v>704</v>
      </c>
      <c r="B142" s="17"/>
      <c r="C142" s="406"/>
      <c r="D142" s="501">
        <v>-0.20100000000000001</v>
      </c>
      <c r="E142" s="502">
        <v>-2.1000000000000001E-2</v>
      </c>
      <c r="F142" s="503">
        <v>0</v>
      </c>
      <c r="G142" s="508">
        <v>0</v>
      </c>
      <c r="H142" s="509"/>
      <c r="I142" s="399"/>
      <c r="J142" s="499">
        <v>5.0000000000000001E-3</v>
      </c>
    </row>
    <row r="143" spans="1:11" ht="35.049999999999997" customHeight="1" x14ac:dyDescent="0.3">
      <c r="A143" s="398" t="s">
        <v>705</v>
      </c>
      <c r="B143" s="17"/>
      <c r="C143" s="406"/>
      <c r="D143" s="501">
        <v>-0.29399999999999998</v>
      </c>
      <c r="E143" s="502">
        <v>-2.5000000000000001E-2</v>
      </c>
      <c r="F143" s="503">
        <v>0</v>
      </c>
      <c r="G143" s="508">
        <v>8.3800000000000008</v>
      </c>
      <c r="H143" s="509"/>
      <c r="I143" s="399"/>
      <c r="J143" s="499">
        <v>0.01</v>
      </c>
    </row>
    <row r="144" spans="1:11" ht="35.049999999999997" customHeight="1" x14ac:dyDescent="0.3">
      <c r="A144" s="398" t="s">
        <v>886</v>
      </c>
      <c r="B144" s="17"/>
      <c r="C144" s="406"/>
      <c r="D144" s="501">
        <v>0</v>
      </c>
      <c r="E144" s="502">
        <v>0</v>
      </c>
      <c r="F144" s="503">
        <v>0</v>
      </c>
      <c r="G144" s="508">
        <v>0.3</v>
      </c>
      <c r="H144" s="509"/>
      <c r="I144" s="399"/>
      <c r="J144" s="500"/>
    </row>
    <row r="145" spans="1:10" ht="35.049999999999997" customHeight="1" x14ac:dyDescent="0.3">
      <c r="A145" s="398" t="s">
        <v>887</v>
      </c>
      <c r="B145" s="17"/>
      <c r="C145" s="406"/>
      <c r="D145" s="501">
        <v>0</v>
      </c>
      <c r="E145" s="502">
        <v>0</v>
      </c>
      <c r="F145" s="503">
        <v>0</v>
      </c>
      <c r="G145" s="509"/>
      <c r="H145" s="509"/>
      <c r="I145" s="399"/>
      <c r="J145" s="500"/>
    </row>
    <row r="146" spans="1:10" ht="35.049999999999997" customHeight="1" x14ac:dyDescent="0.3">
      <c r="A146" s="398" t="s">
        <v>888</v>
      </c>
      <c r="B146" s="17"/>
      <c r="C146" s="406"/>
      <c r="D146" s="501">
        <v>0</v>
      </c>
      <c r="E146" s="502">
        <v>0</v>
      </c>
      <c r="F146" s="503">
        <v>0</v>
      </c>
      <c r="G146" s="508">
        <v>0.16</v>
      </c>
      <c r="H146" s="509"/>
      <c r="I146" s="399"/>
      <c r="J146" s="500"/>
    </row>
    <row r="147" spans="1:10" ht="35.049999999999997" customHeight="1" x14ac:dyDescent="0.3">
      <c r="A147" s="398" t="s">
        <v>889</v>
      </c>
      <c r="B147" s="17"/>
      <c r="C147" s="406"/>
      <c r="D147" s="501">
        <v>0</v>
      </c>
      <c r="E147" s="502">
        <v>0</v>
      </c>
      <c r="F147" s="503">
        <v>0</v>
      </c>
      <c r="G147" s="508">
        <v>0.16</v>
      </c>
      <c r="H147" s="509"/>
      <c r="I147" s="399"/>
      <c r="J147" s="500"/>
    </row>
    <row r="148" spans="1:10" ht="35.049999999999997" customHeight="1" x14ac:dyDescent="0.3">
      <c r="A148" s="398" t="s">
        <v>890</v>
      </c>
      <c r="B148" s="17"/>
      <c r="C148" s="406"/>
      <c r="D148" s="501">
        <v>0</v>
      </c>
      <c r="E148" s="502">
        <v>0</v>
      </c>
      <c r="F148" s="503">
        <v>0</v>
      </c>
      <c r="G148" s="508">
        <v>0.16</v>
      </c>
      <c r="H148" s="509"/>
      <c r="I148" s="399"/>
      <c r="J148" s="500"/>
    </row>
    <row r="149" spans="1:10" ht="35.049999999999997" customHeight="1" x14ac:dyDescent="0.3">
      <c r="A149" s="398" t="s">
        <v>891</v>
      </c>
      <c r="B149" s="17"/>
      <c r="C149" s="406"/>
      <c r="D149" s="501">
        <v>0</v>
      </c>
      <c r="E149" s="502">
        <v>0</v>
      </c>
      <c r="F149" s="503">
        <v>0</v>
      </c>
      <c r="G149" s="508">
        <v>0.16</v>
      </c>
      <c r="H149" s="509"/>
      <c r="I149" s="399"/>
      <c r="J149" s="500"/>
    </row>
    <row r="150" spans="1:10" ht="35.049999999999997" customHeight="1" x14ac:dyDescent="0.3">
      <c r="A150" s="398" t="s">
        <v>892</v>
      </c>
      <c r="B150" s="17"/>
      <c r="C150" s="406"/>
      <c r="D150" s="501">
        <v>0</v>
      </c>
      <c r="E150" s="502">
        <v>0</v>
      </c>
      <c r="F150" s="503">
        <v>0</v>
      </c>
      <c r="G150" s="508">
        <v>0.16</v>
      </c>
      <c r="H150" s="509"/>
      <c r="I150" s="399"/>
      <c r="J150" s="500"/>
    </row>
    <row r="151" spans="1:10" ht="35.049999999999997" customHeight="1" x14ac:dyDescent="0.3">
      <c r="A151" s="398" t="s">
        <v>592</v>
      </c>
      <c r="B151" s="17"/>
      <c r="C151" s="406"/>
      <c r="D151" s="501">
        <v>0</v>
      </c>
      <c r="E151" s="502">
        <v>0</v>
      </c>
      <c r="F151" s="503">
        <v>0</v>
      </c>
      <c r="G151" s="509"/>
      <c r="H151" s="509"/>
      <c r="I151" s="399"/>
      <c r="J151" s="500"/>
    </row>
    <row r="152" spans="1:10" ht="35.049999999999997" customHeight="1" x14ac:dyDescent="0.3">
      <c r="A152" s="398" t="s">
        <v>893</v>
      </c>
      <c r="B152" s="17"/>
      <c r="C152" s="406"/>
      <c r="D152" s="501">
        <v>0</v>
      </c>
      <c r="E152" s="502">
        <v>0</v>
      </c>
      <c r="F152" s="503">
        <v>0</v>
      </c>
      <c r="G152" s="508">
        <v>0.16</v>
      </c>
      <c r="H152" s="508">
        <v>0</v>
      </c>
      <c r="I152" s="400">
        <v>0</v>
      </c>
      <c r="J152" s="499">
        <v>0</v>
      </c>
    </row>
    <row r="153" spans="1:10" ht="35.049999999999997" customHeight="1" x14ac:dyDescent="0.3">
      <c r="A153" s="398" t="s">
        <v>894</v>
      </c>
      <c r="B153" s="17"/>
      <c r="C153" s="406"/>
      <c r="D153" s="501">
        <v>0</v>
      </c>
      <c r="E153" s="502">
        <v>0</v>
      </c>
      <c r="F153" s="503">
        <v>0</v>
      </c>
      <c r="G153" s="508">
        <v>0.16</v>
      </c>
      <c r="H153" s="508">
        <v>0</v>
      </c>
      <c r="I153" s="400">
        <v>0</v>
      </c>
      <c r="J153" s="499">
        <v>0</v>
      </c>
    </row>
    <row r="154" spans="1:10" ht="35.049999999999997" customHeight="1" x14ac:dyDescent="0.3">
      <c r="A154" s="398" t="s">
        <v>895</v>
      </c>
      <c r="B154" s="17"/>
      <c r="C154" s="406"/>
      <c r="D154" s="501">
        <v>0</v>
      </c>
      <c r="E154" s="502">
        <v>0</v>
      </c>
      <c r="F154" s="503">
        <v>0</v>
      </c>
      <c r="G154" s="508">
        <v>0.16</v>
      </c>
      <c r="H154" s="508">
        <v>0</v>
      </c>
      <c r="I154" s="400">
        <v>0</v>
      </c>
      <c r="J154" s="499">
        <v>0</v>
      </c>
    </row>
    <row r="155" spans="1:10" ht="35.049999999999997" customHeight="1" x14ac:dyDescent="0.3">
      <c r="A155" s="398" t="s">
        <v>896</v>
      </c>
      <c r="B155" s="17"/>
      <c r="C155" s="406"/>
      <c r="D155" s="501">
        <v>0</v>
      </c>
      <c r="E155" s="502">
        <v>0</v>
      </c>
      <c r="F155" s="503">
        <v>0</v>
      </c>
      <c r="G155" s="508">
        <v>0.16</v>
      </c>
      <c r="H155" s="508">
        <v>0</v>
      </c>
      <c r="I155" s="400">
        <v>0</v>
      </c>
      <c r="J155" s="499">
        <v>0</v>
      </c>
    </row>
    <row r="156" spans="1:10" ht="35.049999999999997" customHeight="1" x14ac:dyDescent="0.3">
      <c r="A156" s="398" t="s">
        <v>897</v>
      </c>
      <c r="B156" s="17"/>
      <c r="C156" s="406"/>
      <c r="D156" s="501">
        <v>0</v>
      </c>
      <c r="E156" s="502">
        <v>0</v>
      </c>
      <c r="F156" s="503">
        <v>0</v>
      </c>
      <c r="G156" s="508">
        <v>0.16</v>
      </c>
      <c r="H156" s="508">
        <v>0</v>
      </c>
      <c r="I156" s="400">
        <v>0</v>
      </c>
      <c r="J156" s="499">
        <v>0</v>
      </c>
    </row>
    <row r="157" spans="1:10" ht="35.049999999999997" customHeight="1" x14ac:dyDescent="0.3">
      <c r="A157" s="398" t="s">
        <v>898</v>
      </c>
      <c r="B157" s="17"/>
      <c r="C157" s="406"/>
      <c r="D157" s="501">
        <v>0</v>
      </c>
      <c r="E157" s="502">
        <v>0</v>
      </c>
      <c r="F157" s="503">
        <v>0</v>
      </c>
      <c r="G157" s="508">
        <v>0.16</v>
      </c>
      <c r="H157" s="508">
        <v>0</v>
      </c>
      <c r="I157" s="400">
        <v>0</v>
      </c>
      <c r="J157" s="499">
        <v>0</v>
      </c>
    </row>
    <row r="158" spans="1:10" ht="35.049999999999997" customHeight="1" x14ac:dyDescent="0.3">
      <c r="A158" s="398" t="s">
        <v>899</v>
      </c>
      <c r="B158" s="17"/>
      <c r="C158" s="406"/>
      <c r="D158" s="501">
        <v>0</v>
      </c>
      <c r="E158" s="502">
        <v>0</v>
      </c>
      <c r="F158" s="503">
        <v>0</v>
      </c>
      <c r="G158" s="508">
        <v>0.16</v>
      </c>
      <c r="H158" s="508">
        <v>0</v>
      </c>
      <c r="I158" s="400">
        <v>0</v>
      </c>
      <c r="J158" s="499">
        <v>0</v>
      </c>
    </row>
    <row r="159" spans="1:10" ht="35.049999999999997" customHeight="1" x14ac:dyDescent="0.3">
      <c r="A159" s="398" t="s">
        <v>900</v>
      </c>
      <c r="B159" s="17"/>
      <c r="C159" s="406"/>
      <c r="D159" s="501">
        <v>0</v>
      </c>
      <c r="E159" s="502">
        <v>0</v>
      </c>
      <c r="F159" s="503">
        <v>0</v>
      </c>
      <c r="G159" s="508">
        <v>0.16</v>
      </c>
      <c r="H159" s="508">
        <v>0</v>
      </c>
      <c r="I159" s="400">
        <v>0</v>
      </c>
      <c r="J159" s="499">
        <v>0</v>
      </c>
    </row>
    <row r="160" spans="1:10" ht="35.049999999999997" customHeight="1" x14ac:dyDescent="0.3">
      <c r="A160" s="398" t="s">
        <v>901</v>
      </c>
      <c r="B160" s="17"/>
      <c r="C160" s="406"/>
      <c r="D160" s="501">
        <v>0</v>
      </c>
      <c r="E160" s="502">
        <v>0</v>
      </c>
      <c r="F160" s="503">
        <v>0</v>
      </c>
      <c r="G160" s="508">
        <v>0.16</v>
      </c>
      <c r="H160" s="508">
        <v>0</v>
      </c>
      <c r="I160" s="400">
        <v>0</v>
      </c>
      <c r="J160" s="499">
        <v>0</v>
      </c>
    </row>
    <row r="161" spans="1:10" ht="35.049999999999997" customHeight="1" x14ac:dyDescent="0.3">
      <c r="A161" s="398" t="s">
        <v>902</v>
      </c>
      <c r="B161" s="17"/>
      <c r="C161" s="406"/>
      <c r="D161" s="501">
        <v>0</v>
      </c>
      <c r="E161" s="502">
        <v>0</v>
      </c>
      <c r="F161" s="503">
        <v>0</v>
      </c>
      <c r="G161" s="508">
        <v>0.16</v>
      </c>
      <c r="H161" s="508">
        <v>0</v>
      </c>
      <c r="I161" s="400">
        <v>0</v>
      </c>
      <c r="J161" s="499">
        <v>0</v>
      </c>
    </row>
    <row r="162" spans="1:10" ht="35.049999999999997" customHeight="1" x14ac:dyDescent="0.3">
      <c r="A162" s="398" t="s">
        <v>903</v>
      </c>
      <c r="B162" s="17"/>
      <c r="C162" s="406"/>
      <c r="D162" s="501">
        <v>0</v>
      </c>
      <c r="E162" s="502">
        <v>0</v>
      </c>
      <c r="F162" s="503">
        <v>0</v>
      </c>
      <c r="G162" s="508">
        <v>0.16</v>
      </c>
      <c r="H162" s="508">
        <v>0</v>
      </c>
      <c r="I162" s="400">
        <v>0</v>
      </c>
      <c r="J162" s="499">
        <v>0</v>
      </c>
    </row>
    <row r="163" spans="1:10" ht="35.049999999999997" customHeight="1" x14ac:dyDescent="0.3">
      <c r="A163" s="398" t="s">
        <v>904</v>
      </c>
      <c r="B163" s="17"/>
      <c r="C163" s="406"/>
      <c r="D163" s="501">
        <v>0</v>
      </c>
      <c r="E163" s="502">
        <v>0</v>
      </c>
      <c r="F163" s="503">
        <v>0</v>
      </c>
      <c r="G163" s="508">
        <v>0.16</v>
      </c>
      <c r="H163" s="508">
        <v>0</v>
      </c>
      <c r="I163" s="400">
        <v>0</v>
      </c>
      <c r="J163" s="499">
        <v>0</v>
      </c>
    </row>
    <row r="164" spans="1:10" ht="35.049999999999997" customHeight="1" x14ac:dyDescent="0.3">
      <c r="A164" s="398" t="s">
        <v>905</v>
      </c>
      <c r="B164" s="17"/>
      <c r="C164" s="406"/>
      <c r="D164" s="501">
        <v>0</v>
      </c>
      <c r="E164" s="502">
        <v>0</v>
      </c>
      <c r="F164" s="503">
        <v>0</v>
      </c>
      <c r="G164" s="508">
        <v>0.16</v>
      </c>
      <c r="H164" s="508">
        <v>0</v>
      </c>
      <c r="I164" s="400">
        <v>0</v>
      </c>
      <c r="J164" s="499">
        <v>0</v>
      </c>
    </row>
    <row r="165" spans="1:10" ht="35.049999999999997" customHeight="1" x14ac:dyDescent="0.3">
      <c r="A165" s="398" t="s">
        <v>906</v>
      </c>
      <c r="B165" s="17"/>
      <c r="C165" s="406"/>
      <c r="D165" s="501">
        <v>0</v>
      </c>
      <c r="E165" s="502">
        <v>0</v>
      </c>
      <c r="F165" s="503">
        <v>0</v>
      </c>
      <c r="G165" s="508">
        <v>0.16</v>
      </c>
      <c r="H165" s="508">
        <v>0</v>
      </c>
      <c r="I165" s="400">
        <v>0</v>
      </c>
      <c r="J165" s="499">
        <v>0</v>
      </c>
    </row>
    <row r="166" spans="1:10" ht="35.049999999999997" customHeight="1" x14ac:dyDescent="0.3">
      <c r="A166" s="398" t="s">
        <v>907</v>
      </c>
      <c r="B166" s="17"/>
      <c r="C166" s="406"/>
      <c r="D166" s="501">
        <v>0</v>
      </c>
      <c r="E166" s="502">
        <v>0</v>
      </c>
      <c r="F166" s="503">
        <v>0</v>
      </c>
      <c r="G166" s="508">
        <v>0.16</v>
      </c>
      <c r="H166" s="508">
        <v>0</v>
      </c>
      <c r="I166" s="400">
        <v>0</v>
      </c>
      <c r="J166" s="499">
        <v>0</v>
      </c>
    </row>
    <row r="167" spans="1:10" ht="35.049999999999997" customHeight="1" x14ac:dyDescent="0.3">
      <c r="A167" s="398" t="s">
        <v>593</v>
      </c>
      <c r="B167" s="17"/>
      <c r="C167" s="406"/>
      <c r="D167" s="504">
        <v>0</v>
      </c>
      <c r="E167" s="505">
        <v>0</v>
      </c>
      <c r="F167" s="503">
        <v>0</v>
      </c>
      <c r="G167" s="509"/>
      <c r="H167" s="509"/>
      <c r="I167" s="399"/>
      <c r="J167" s="500"/>
    </row>
    <row r="168" spans="1:10" ht="35.049999999999997" customHeight="1" x14ac:dyDescent="0.3">
      <c r="A168" s="398" t="s">
        <v>706</v>
      </c>
      <c r="B168" s="17"/>
      <c r="C168" s="406"/>
      <c r="D168" s="501">
        <v>0</v>
      </c>
      <c r="E168" s="502">
        <v>0</v>
      </c>
      <c r="F168" s="503">
        <v>0</v>
      </c>
      <c r="G168" s="508">
        <v>0</v>
      </c>
      <c r="H168" s="509"/>
      <c r="I168" s="399"/>
      <c r="J168" s="500"/>
    </row>
    <row r="169" spans="1:10" ht="35.049999999999997" customHeight="1" x14ac:dyDescent="0.3">
      <c r="A169" s="398" t="s">
        <v>707</v>
      </c>
      <c r="B169" s="17"/>
      <c r="C169" s="406"/>
      <c r="D169" s="501">
        <v>0</v>
      </c>
      <c r="E169" s="502">
        <v>0</v>
      </c>
      <c r="F169" s="503">
        <v>0</v>
      </c>
      <c r="G169" s="508">
        <v>0</v>
      </c>
      <c r="H169" s="509"/>
      <c r="I169" s="399"/>
      <c r="J169" s="500"/>
    </row>
    <row r="170" spans="1:10" ht="35.049999999999997" customHeight="1" x14ac:dyDescent="0.3">
      <c r="A170" s="398" t="s">
        <v>708</v>
      </c>
      <c r="B170" s="17"/>
      <c r="C170" s="406"/>
      <c r="D170" s="501">
        <v>0</v>
      </c>
      <c r="E170" s="502">
        <v>0</v>
      </c>
      <c r="F170" s="503">
        <v>0</v>
      </c>
      <c r="G170" s="508">
        <v>0</v>
      </c>
      <c r="H170" s="509"/>
      <c r="I170" s="399"/>
      <c r="J170" s="499">
        <v>0</v>
      </c>
    </row>
    <row r="171" spans="1:10" ht="35.049999999999997" customHeight="1" x14ac:dyDescent="0.3">
      <c r="A171" s="398" t="s">
        <v>709</v>
      </c>
      <c r="B171" s="17"/>
      <c r="C171" s="406"/>
      <c r="D171" s="501">
        <v>0</v>
      </c>
      <c r="E171" s="502">
        <v>0</v>
      </c>
      <c r="F171" s="503">
        <v>0</v>
      </c>
      <c r="G171" s="508">
        <v>0</v>
      </c>
      <c r="H171" s="509"/>
      <c r="I171" s="399"/>
      <c r="J171" s="499">
        <v>0</v>
      </c>
    </row>
    <row r="172" spans="1:10" ht="35.049999999999997" customHeight="1" x14ac:dyDescent="0.3">
      <c r="A172" s="398" t="s">
        <v>710</v>
      </c>
      <c r="B172" s="17"/>
      <c r="C172" s="406"/>
      <c r="D172" s="501">
        <v>0</v>
      </c>
      <c r="E172" s="502">
        <v>0</v>
      </c>
      <c r="F172" s="503">
        <v>0</v>
      </c>
      <c r="G172" s="508">
        <v>0</v>
      </c>
      <c r="H172" s="509"/>
      <c r="I172" s="399"/>
      <c r="J172" s="499">
        <v>0</v>
      </c>
    </row>
    <row r="173" spans="1:10" ht="35.049999999999997" customHeight="1" x14ac:dyDescent="0.3">
      <c r="A173" s="398" t="s">
        <v>908</v>
      </c>
      <c r="B173" s="17"/>
      <c r="C173" s="406"/>
      <c r="D173" s="501">
        <v>0</v>
      </c>
      <c r="E173" s="502">
        <v>0</v>
      </c>
      <c r="F173" s="503">
        <v>0</v>
      </c>
      <c r="G173" s="508">
        <v>0.3</v>
      </c>
      <c r="H173" s="509"/>
      <c r="I173" s="399"/>
      <c r="J173" s="500"/>
    </row>
    <row r="174" spans="1:10" ht="35.049999999999997" customHeight="1" x14ac:dyDescent="0.3">
      <c r="A174" s="398" t="s">
        <v>909</v>
      </c>
      <c r="B174" s="17"/>
      <c r="C174" s="406"/>
      <c r="D174" s="501">
        <v>0</v>
      </c>
      <c r="E174" s="502">
        <v>0</v>
      </c>
      <c r="F174" s="503">
        <v>0</v>
      </c>
      <c r="G174" s="509"/>
      <c r="H174" s="509"/>
      <c r="I174" s="399"/>
      <c r="J174" s="500"/>
    </row>
    <row r="175" spans="1:10" ht="35.049999999999997" customHeight="1" x14ac:dyDescent="0.3">
      <c r="A175" s="398" t="s">
        <v>910</v>
      </c>
      <c r="B175" s="17"/>
      <c r="C175" s="406"/>
      <c r="D175" s="501">
        <v>0</v>
      </c>
      <c r="E175" s="502">
        <v>0</v>
      </c>
      <c r="F175" s="503">
        <v>0</v>
      </c>
      <c r="G175" s="508">
        <v>0.16</v>
      </c>
      <c r="H175" s="509"/>
      <c r="I175" s="399"/>
      <c r="J175" s="500"/>
    </row>
    <row r="176" spans="1:10" ht="35.049999999999997" customHeight="1" x14ac:dyDescent="0.3">
      <c r="A176" s="398" t="s">
        <v>911</v>
      </c>
      <c r="B176" s="17"/>
      <c r="C176" s="406"/>
      <c r="D176" s="501">
        <v>0</v>
      </c>
      <c r="E176" s="502">
        <v>0</v>
      </c>
      <c r="F176" s="503">
        <v>0</v>
      </c>
      <c r="G176" s="508">
        <v>0.16</v>
      </c>
      <c r="H176" s="509"/>
      <c r="I176" s="399"/>
      <c r="J176" s="500"/>
    </row>
    <row r="177" spans="1:10" ht="35.049999999999997" customHeight="1" x14ac:dyDescent="0.3">
      <c r="A177" s="398" t="s">
        <v>912</v>
      </c>
      <c r="B177" s="17"/>
      <c r="C177" s="406"/>
      <c r="D177" s="501">
        <v>0</v>
      </c>
      <c r="E177" s="502">
        <v>0</v>
      </c>
      <c r="F177" s="503">
        <v>0</v>
      </c>
      <c r="G177" s="508">
        <v>0.16</v>
      </c>
      <c r="H177" s="509"/>
      <c r="I177" s="399"/>
      <c r="J177" s="500"/>
    </row>
    <row r="178" spans="1:10" ht="35.049999999999997" customHeight="1" x14ac:dyDescent="0.3">
      <c r="A178" s="398" t="s">
        <v>913</v>
      </c>
      <c r="B178" s="17"/>
      <c r="C178" s="406"/>
      <c r="D178" s="501">
        <v>0</v>
      </c>
      <c r="E178" s="502">
        <v>0</v>
      </c>
      <c r="F178" s="503">
        <v>0</v>
      </c>
      <c r="G178" s="508">
        <v>0.16</v>
      </c>
      <c r="H178" s="509"/>
      <c r="I178" s="399"/>
      <c r="J178" s="500"/>
    </row>
    <row r="179" spans="1:10" ht="35.049999999999997" customHeight="1" x14ac:dyDescent="0.3">
      <c r="A179" s="398" t="s">
        <v>914</v>
      </c>
      <c r="B179" s="17"/>
      <c r="C179" s="406"/>
      <c r="D179" s="501">
        <v>0</v>
      </c>
      <c r="E179" s="502">
        <v>0</v>
      </c>
      <c r="F179" s="503">
        <v>0</v>
      </c>
      <c r="G179" s="508">
        <v>0.16</v>
      </c>
      <c r="H179" s="509"/>
      <c r="I179" s="399"/>
      <c r="J179" s="500"/>
    </row>
    <row r="180" spans="1:10" ht="35.049999999999997" customHeight="1" x14ac:dyDescent="0.3">
      <c r="A180" s="398" t="s">
        <v>594</v>
      </c>
      <c r="B180" s="17"/>
      <c r="C180" s="406"/>
      <c r="D180" s="501">
        <v>0</v>
      </c>
      <c r="E180" s="502">
        <v>0</v>
      </c>
      <c r="F180" s="503">
        <v>0</v>
      </c>
      <c r="G180" s="509"/>
      <c r="H180" s="509"/>
      <c r="I180" s="399"/>
      <c r="J180" s="500"/>
    </row>
    <row r="181" spans="1:10" ht="35.049999999999997" customHeight="1" x14ac:dyDescent="0.3">
      <c r="A181" s="398" t="s">
        <v>915</v>
      </c>
      <c r="B181" s="17"/>
      <c r="C181" s="406"/>
      <c r="D181" s="501">
        <v>0</v>
      </c>
      <c r="E181" s="502">
        <v>0</v>
      </c>
      <c r="F181" s="503">
        <v>0</v>
      </c>
      <c r="G181" s="508">
        <v>0.16</v>
      </c>
      <c r="H181" s="508">
        <v>0</v>
      </c>
      <c r="I181" s="400">
        <v>0</v>
      </c>
      <c r="J181" s="499">
        <v>0</v>
      </c>
    </row>
    <row r="182" spans="1:10" ht="35.049999999999997" customHeight="1" x14ac:dyDescent="0.3">
      <c r="A182" s="398" t="s">
        <v>916</v>
      </c>
      <c r="B182" s="17"/>
      <c r="C182" s="406"/>
      <c r="D182" s="501">
        <v>0</v>
      </c>
      <c r="E182" s="502">
        <v>0</v>
      </c>
      <c r="F182" s="503">
        <v>0</v>
      </c>
      <c r="G182" s="508">
        <v>0.16</v>
      </c>
      <c r="H182" s="508">
        <v>0</v>
      </c>
      <c r="I182" s="400">
        <v>0</v>
      </c>
      <c r="J182" s="499">
        <v>0</v>
      </c>
    </row>
    <row r="183" spans="1:10" ht="35.049999999999997" customHeight="1" x14ac:dyDescent="0.3">
      <c r="A183" s="398" t="s">
        <v>917</v>
      </c>
      <c r="B183" s="17"/>
      <c r="C183" s="406"/>
      <c r="D183" s="501">
        <v>0</v>
      </c>
      <c r="E183" s="502">
        <v>0</v>
      </c>
      <c r="F183" s="503">
        <v>0</v>
      </c>
      <c r="G183" s="508">
        <v>0.16</v>
      </c>
      <c r="H183" s="508">
        <v>0</v>
      </c>
      <c r="I183" s="400">
        <v>0</v>
      </c>
      <c r="J183" s="499">
        <v>0</v>
      </c>
    </row>
    <row r="184" spans="1:10" ht="35.049999999999997" customHeight="1" x14ac:dyDescent="0.3">
      <c r="A184" s="398" t="s">
        <v>918</v>
      </c>
      <c r="B184" s="17"/>
      <c r="C184" s="406"/>
      <c r="D184" s="501">
        <v>0</v>
      </c>
      <c r="E184" s="502">
        <v>0</v>
      </c>
      <c r="F184" s="503">
        <v>0</v>
      </c>
      <c r="G184" s="508">
        <v>0.16</v>
      </c>
      <c r="H184" s="508">
        <v>0</v>
      </c>
      <c r="I184" s="400">
        <v>0</v>
      </c>
      <c r="J184" s="499">
        <v>0</v>
      </c>
    </row>
    <row r="185" spans="1:10" ht="35.049999999999997" customHeight="1" x14ac:dyDescent="0.3">
      <c r="A185" s="398" t="s">
        <v>919</v>
      </c>
      <c r="B185" s="17"/>
      <c r="C185" s="406"/>
      <c r="D185" s="501">
        <v>0</v>
      </c>
      <c r="E185" s="502">
        <v>0</v>
      </c>
      <c r="F185" s="503">
        <v>0</v>
      </c>
      <c r="G185" s="508">
        <v>0.16</v>
      </c>
      <c r="H185" s="508">
        <v>0</v>
      </c>
      <c r="I185" s="400">
        <v>0</v>
      </c>
      <c r="J185" s="499">
        <v>0</v>
      </c>
    </row>
    <row r="186" spans="1:10" ht="35.049999999999997" customHeight="1" x14ac:dyDescent="0.3">
      <c r="A186" s="398" t="s">
        <v>920</v>
      </c>
      <c r="B186" s="17"/>
      <c r="C186" s="406"/>
      <c r="D186" s="501">
        <v>0</v>
      </c>
      <c r="E186" s="502">
        <v>0</v>
      </c>
      <c r="F186" s="503">
        <v>0</v>
      </c>
      <c r="G186" s="508">
        <v>0.16</v>
      </c>
      <c r="H186" s="508">
        <v>0</v>
      </c>
      <c r="I186" s="400">
        <v>0</v>
      </c>
      <c r="J186" s="499">
        <v>0</v>
      </c>
    </row>
    <row r="187" spans="1:10" ht="35.049999999999997" customHeight="1" x14ac:dyDescent="0.3">
      <c r="A187" s="398" t="s">
        <v>921</v>
      </c>
      <c r="B187" s="17"/>
      <c r="C187" s="406"/>
      <c r="D187" s="501">
        <v>0</v>
      </c>
      <c r="E187" s="502">
        <v>0</v>
      </c>
      <c r="F187" s="503">
        <v>0</v>
      </c>
      <c r="G187" s="508">
        <v>0.16</v>
      </c>
      <c r="H187" s="508">
        <v>0</v>
      </c>
      <c r="I187" s="400">
        <v>0</v>
      </c>
      <c r="J187" s="499">
        <v>0</v>
      </c>
    </row>
    <row r="188" spans="1:10" ht="35.049999999999997" customHeight="1" x14ac:dyDescent="0.3">
      <c r="A188" s="398" t="s">
        <v>922</v>
      </c>
      <c r="B188" s="17"/>
      <c r="C188" s="406"/>
      <c r="D188" s="501">
        <v>0</v>
      </c>
      <c r="E188" s="502">
        <v>0</v>
      </c>
      <c r="F188" s="503">
        <v>0</v>
      </c>
      <c r="G188" s="508">
        <v>0.16</v>
      </c>
      <c r="H188" s="508">
        <v>0</v>
      </c>
      <c r="I188" s="400">
        <v>0</v>
      </c>
      <c r="J188" s="499">
        <v>0</v>
      </c>
    </row>
    <row r="189" spans="1:10" ht="35.049999999999997" customHeight="1" x14ac:dyDescent="0.3">
      <c r="A189" s="398" t="s">
        <v>923</v>
      </c>
      <c r="B189" s="17"/>
      <c r="C189" s="406"/>
      <c r="D189" s="501">
        <v>0</v>
      </c>
      <c r="E189" s="502">
        <v>0</v>
      </c>
      <c r="F189" s="503">
        <v>0</v>
      </c>
      <c r="G189" s="508">
        <v>0.16</v>
      </c>
      <c r="H189" s="508">
        <v>0</v>
      </c>
      <c r="I189" s="400">
        <v>0</v>
      </c>
      <c r="J189" s="499">
        <v>0</v>
      </c>
    </row>
    <row r="190" spans="1:10" ht="35.049999999999997" customHeight="1" x14ac:dyDescent="0.3">
      <c r="A190" s="398" t="s">
        <v>924</v>
      </c>
      <c r="B190" s="17"/>
      <c r="C190" s="406"/>
      <c r="D190" s="501">
        <v>0</v>
      </c>
      <c r="E190" s="502">
        <v>0</v>
      </c>
      <c r="F190" s="503">
        <v>0</v>
      </c>
      <c r="G190" s="508">
        <v>0.16</v>
      </c>
      <c r="H190" s="508">
        <v>0</v>
      </c>
      <c r="I190" s="400">
        <v>0</v>
      </c>
      <c r="J190" s="499">
        <v>0</v>
      </c>
    </row>
    <row r="191" spans="1:10" ht="35.049999999999997" customHeight="1" x14ac:dyDescent="0.3">
      <c r="A191" s="398" t="s">
        <v>925</v>
      </c>
      <c r="B191" s="17"/>
      <c r="C191" s="406"/>
      <c r="D191" s="501">
        <v>0</v>
      </c>
      <c r="E191" s="502">
        <v>0</v>
      </c>
      <c r="F191" s="503">
        <v>0</v>
      </c>
      <c r="G191" s="508">
        <v>0.16</v>
      </c>
      <c r="H191" s="508">
        <v>0</v>
      </c>
      <c r="I191" s="400">
        <v>0</v>
      </c>
      <c r="J191" s="499">
        <v>0</v>
      </c>
    </row>
    <row r="192" spans="1:10" ht="35.049999999999997" customHeight="1" x14ac:dyDescent="0.3">
      <c r="A192" s="398" t="s">
        <v>926</v>
      </c>
      <c r="B192" s="17"/>
      <c r="C192" s="406"/>
      <c r="D192" s="501">
        <v>0</v>
      </c>
      <c r="E192" s="502">
        <v>0</v>
      </c>
      <c r="F192" s="503">
        <v>0</v>
      </c>
      <c r="G192" s="508">
        <v>0.16</v>
      </c>
      <c r="H192" s="508">
        <v>0</v>
      </c>
      <c r="I192" s="400">
        <v>0</v>
      </c>
      <c r="J192" s="499">
        <v>0</v>
      </c>
    </row>
    <row r="193" spans="1:10" ht="35.049999999999997" customHeight="1" x14ac:dyDescent="0.3">
      <c r="A193" s="398" t="s">
        <v>927</v>
      </c>
      <c r="B193" s="17"/>
      <c r="C193" s="406"/>
      <c r="D193" s="501">
        <v>0</v>
      </c>
      <c r="E193" s="502">
        <v>0</v>
      </c>
      <c r="F193" s="503">
        <v>0</v>
      </c>
      <c r="G193" s="508">
        <v>0.16</v>
      </c>
      <c r="H193" s="508">
        <v>0</v>
      </c>
      <c r="I193" s="400">
        <v>0</v>
      </c>
      <c r="J193" s="499">
        <v>0</v>
      </c>
    </row>
    <row r="194" spans="1:10" ht="35.049999999999997" customHeight="1" x14ac:dyDescent="0.3">
      <c r="A194" s="398" t="s">
        <v>928</v>
      </c>
      <c r="B194" s="17"/>
      <c r="C194" s="406"/>
      <c r="D194" s="501">
        <v>0</v>
      </c>
      <c r="E194" s="502">
        <v>0</v>
      </c>
      <c r="F194" s="503">
        <v>0</v>
      </c>
      <c r="G194" s="508">
        <v>0.16</v>
      </c>
      <c r="H194" s="508">
        <v>0</v>
      </c>
      <c r="I194" s="400">
        <v>0</v>
      </c>
      <c r="J194" s="499">
        <v>0</v>
      </c>
    </row>
    <row r="195" spans="1:10" ht="35.049999999999997" customHeight="1" x14ac:dyDescent="0.3">
      <c r="A195" s="398" t="s">
        <v>929</v>
      </c>
      <c r="B195" s="17"/>
      <c r="C195" s="406"/>
      <c r="D195" s="501">
        <v>0</v>
      </c>
      <c r="E195" s="502">
        <v>0</v>
      </c>
      <c r="F195" s="503">
        <v>0</v>
      </c>
      <c r="G195" s="508">
        <v>0.16</v>
      </c>
      <c r="H195" s="508">
        <v>0</v>
      </c>
      <c r="I195" s="400">
        <v>0</v>
      </c>
      <c r="J195" s="499">
        <v>0</v>
      </c>
    </row>
    <row r="196" spans="1:10" ht="35.049999999999997" customHeight="1" x14ac:dyDescent="0.3">
      <c r="A196" s="398" t="s">
        <v>595</v>
      </c>
      <c r="B196" s="17"/>
      <c r="C196" s="406"/>
      <c r="D196" s="504">
        <v>0</v>
      </c>
      <c r="E196" s="505">
        <v>0</v>
      </c>
      <c r="F196" s="503">
        <v>0</v>
      </c>
      <c r="G196" s="509"/>
      <c r="H196" s="509"/>
      <c r="I196" s="399"/>
      <c r="J196" s="500"/>
    </row>
    <row r="197" spans="1:10" ht="35.049999999999997" customHeight="1" x14ac:dyDescent="0.3">
      <c r="A197" s="398" t="s">
        <v>711</v>
      </c>
      <c r="B197" s="17"/>
      <c r="C197" s="406"/>
      <c r="D197" s="501">
        <v>0</v>
      </c>
      <c r="E197" s="502">
        <v>0</v>
      </c>
      <c r="F197" s="503">
        <v>0</v>
      </c>
      <c r="G197" s="508">
        <v>0</v>
      </c>
      <c r="H197" s="509"/>
      <c r="I197" s="399"/>
      <c r="J197" s="500"/>
    </row>
    <row r="198" spans="1:10" ht="35.049999999999997" customHeight="1" x14ac:dyDescent="0.3">
      <c r="A198" s="398" t="s">
        <v>712</v>
      </c>
      <c r="B198" s="17"/>
      <c r="C198" s="406"/>
      <c r="D198" s="501">
        <v>0</v>
      </c>
      <c r="E198" s="502">
        <v>0</v>
      </c>
      <c r="F198" s="503">
        <v>0</v>
      </c>
      <c r="G198" s="508">
        <v>0</v>
      </c>
      <c r="H198" s="509"/>
      <c r="I198" s="399"/>
      <c r="J198" s="500"/>
    </row>
    <row r="199" spans="1:10" ht="35.049999999999997" customHeight="1" x14ac:dyDescent="0.3">
      <c r="A199" s="398" t="s">
        <v>713</v>
      </c>
      <c r="B199" s="17"/>
      <c r="C199" s="406"/>
      <c r="D199" s="501">
        <v>0</v>
      </c>
      <c r="E199" s="502">
        <v>0</v>
      </c>
      <c r="F199" s="503">
        <v>0</v>
      </c>
      <c r="G199" s="508">
        <v>0</v>
      </c>
      <c r="H199" s="509"/>
      <c r="I199" s="399"/>
      <c r="J199" s="499">
        <v>0</v>
      </c>
    </row>
    <row r="200" spans="1:10" ht="35.049999999999997" customHeight="1" x14ac:dyDescent="0.3">
      <c r="A200" s="398" t="s">
        <v>714</v>
      </c>
      <c r="B200" s="17"/>
      <c r="C200" s="406"/>
      <c r="D200" s="501">
        <v>0</v>
      </c>
      <c r="E200" s="502">
        <v>0</v>
      </c>
      <c r="F200" s="503">
        <v>0</v>
      </c>
      <c r="G200" s="508">
        <v>0</v>
      </c>
      <c r="H200" s="509"/>
      <c r="I200" s="399"/>
      <c r="J200" s="499">
        <v>0</v>
      </c>
    </row>
    <row r="201" spans="1:10" ht="35.049999999999997" customHeight="1" x14ac:dyDescent="0.3">
      <c r="A201" s="398" t="s">
        <v>715</v>
      </c>
      <c r="B201" s="17"/>
      <c r="C201" s="406"/>
      <c r="D201" s="501">
        <v>0</v>
      </c>
      <c r="E201" s="502">
        <v>0</v>
      </c>
      <c r="F201" s="503">
        <v>0</v>
      </c>
      <c r="G201" s="508">
        <v>0</v>
      </c>
      <c r="H201" s="509"/>
      <c r="I201" s="399"/>
      <c r="J201" s="499">
        <v>0</v>
      </c>
    </row>
  </sheetData>
  <mergeCells count="11">
    <mergeCell ref="F7:G7"/>
    <mergeCell ref="A2:J2"/>
    <mergeCell ref="A4:D4"/>
    <mergeCell ref="F4:J4"/>
    <mergeCell ref="F5:G5"/>
    <mergeCell ref="F6:G6"/>
    <mergeCell ref="F9:G9"/>
    <mergeCell ref="B8:D8"/>
    <mergeCell ref="F8:G8"/>
    <mergeCell ref="F10:G10"/>
    <mergeCell ref="H10:J10"/>
  </mergeCells>
  <hyperlinks>
    <hyperlink ref="A1" location="Overview!A1" display="Back to Overview" xr:uid="{7D20C0E2-023A-4961-9BA9-47BA06F0D273}"/>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oddFooter xml:space="preserve">&amp;LNote: Where a tariff only has a p/kWh unit rate in Unit Charge 1 then this unit rate applies at all times.
</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B81F-6368-4D84-80F7-80CCEF2395B9}">
  <sheetPr codeName="Sheet33">
    <pageSetUpPr fitToPage="1"/>
  </sheetPr>
  <dimension ref="A1:M201"/>
  <sheetViews>
    <sheetView zoomScale="50" zoomScaleNormal="50"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6384" width="9.15234375" style="1"/>
  </cols>
  <sheetData>
    <row r="1" spans="1:13" ht="40" customHeight="1" x14ac:dyDescent="0.3">
      <c r="A1" s="30" t="s">
        <v>19</v>
      </c>
      <c r="B1" s="664"/>
      <c r="C1" s="664"/>
      <c r="D1" s="664"/>
      <c r="F1" s="665"/>
      <c r="G1" s="665"/>
      <c r="H1" s="665"/>
      <c r="I1" s="3"/>
      <c r="J1" s="1"/>
    </row>
    <row r="2" spans="1:13" ht="40" customHeight="1" x14ac:dyDescent="0.3">
      <c r="A2" s="612" t="str">
        <f>Overview!B4&amp;" - Effective from "&amp;Overview!D4&amp;" - Final LDNO tariffs in SSE SHEPD Area (GSP Group_P)"</f>
        <v>Indigo Power Limited - Effective from 1 April 2023 - Final LDNO tariffs in SSE SHEPD Area (GSP Group_P)</v>
      </c>
      <c r="B2" s="612"/>
      <c r="C2" s="612"/>
      <c r="D2" s="612"/>
      <c r="E2" s="612"/>
      <c r="F2" s="612"/>
      <c r="G2" s="612"/>
      <c r="H2" s="612"/>
      <c r="I2" s="612"/>
      <c r="J2" s="612"/>
      <c r="K2" s="3"/>
    </row>
    <row r="3" spans="1:13" ht="40" customHeight="1" x14ac:dyDescent="0.3">
      <c r="A3" s="48"/>
      <c r="B3" s="48"/>
      <c r="C3" s="48"/>
      <c r="D3" s="48"/>
      <c r="E3" s="48"/>
      <c r="F3" s="48"/>
      <c r="G3" s="48"/>
      <c r="H3" s="48"/>
      <c r="I3" s="48"/>
      <c r="J3" s="48"/>
      <c r="K3" s="3"/>
    </row>
    <row r="4" spans="1:13" s="65" customFormat="1" ht="40" customHeight="1" x14ac:dyDescent="0.3">
      <c r="A4" s="612" t="s">
        <v>308</v>
      </c>
      <c r="B4" s="612"/>
      <c r="C4" s="612"/>
      <c r="D4" s="612"/>
      <c r="E4" s="289"/>
      <c r="F4" s="612" t="s">
        <v>307</v>
      </c>
      <c r="G4" s="612"/>
      <c r="H4" s="612"/>
      <c r="I4" s="612"/>
      <c r="J4" s="612"/>
      <c r="K4" s="330"/>
      <c r="L4" s="330"/>
    </row>
    <row r="5" spans="1:13" s="65" customFormat="1" ht="40" customHeight="1" x14ac:dyDescent="0.3">
      <c r="A5" s="472" t="s">
        <v>13</v>
      </c>
      <c r="B5" s="290" t="s">
        <v>299</v>
      </c>
      <c r="C5" s="291" t="s">
        <v>300</v>
      </c>
      <c r="D5" s="292" t="s">
        <v>301</v>
      </c>
      <c r="E5" s="48"/>
      <c r="F5" s="659"/>
      <c r="G5" s="660"/>
      <c r="H5" s="293" t="s">
        <v>305</v>
      </c>
      <c r="I5" s="294" t="s">
        <v>306</v>
      </c>
      <c r="J5" s="292" t="s">
        <v>301</v>
      </c>
      <c r="K5" s="48"/>
      <c r="L5" s="330"/>
      <c r="M5" s="330"/>
    </row>
    <row r="6" spans="1:13" s="65" customFormat="1" ht="40" customHeight="1" x14ac:dyDescent="0.3">
      <c r="A6" s="473" t="str">
        <f>'Annex 1 LV and HV charges_P'!A6</f>
        <v>Monday to Friday 
(Including Bank Holidays)
All Year</v>
      </c>
      <c r="B6" s="296" t="str">
        <f>'Annex 1 LV and HV charges_P'!B6</f>
        <v>16:00 - 19:00</v>
      </c>
      <c r="C6" s="297" t="str">
        <f>'Annex 1 LV and HV charges_P'!C6</f>
        <v/>
      </c>
      <c r="D6" s="298" t="str">
        <f>'Annex 1 LV and HV charges_P'!E6</f>
        <v/>
      </c>
      <c r="E6" s="48"/>
      <c r="F6" s="655" t="str">
        <f>'Annex 1 LV and HV charges_P'!G6</f>
        <v>Monday to Friday 
(Including Bank Holidays)
March to October</v>
      </c>
      <c r="G6" s="655" t="str">
        <f>'Annex 1 LV and HV charges_P'!H6</f>
        <v/>
      </c>
      <c r="H6" s="298" t="str">
        <f>'Annex 1 LV and HV charges_P'!I6</f>
        <v/>
      </c>
      <c r="I6" s="299" t="str">
        <f>'Annex 1 LV and HV charges_P'!J6</f>
        <v>07:00 - 21:00</v>
      </c>
      <c r="J6" s="298" t="str">
        <f>'Annex 1 LV and HV charges_P'!K6</f>
        <v/>
      </c>
      <c r="K6" s="48"/>
      <c r="L6" s="330"/>
      <c r="M6" s="330"/>
    </row>
    <row r="7" spans="1:13" s="65" customFormat="1" ht="40" customHeight="1" x14ac:dyDescent="0.3">
      <c r="A7" s="473" t="str">
        <f>'Annex 1 LV and HV charges_P'!A7</f>
        <v>Monday to Friday 
(Including Bank Holidays)
All Year</v>
      </c>
      <c r="B7" s="298" t="str">
        <f>'Annex 1 LV and HV charges_P'!B7</f>
        <v/>
      </c>
      <c r="C7" s="317" t="str">
        <f>'Annex 1 LV and HV charges_P'!C7</f>
        <v>07:00 - 16:00
19:00 - 21:00</v>
      </c>
      <c r="D7" s="298" t="str">
        <f>'Annex 1 LV and HV charges_P'!E7</f>
        <v/>
      </c>
      <c r="E7" s="48"/>
      <c r="F7" s="655" t="str">
        <f>'Annex 1 LV and HV charges_P'!G7</f>
        <v xml:space="preserve">Monday to Friday 
(Including Bank Holidays)
November to February </v>
      </c>
      <c r="G7" s="655" t="str">
        <f>'Annex 1 LV and HV charges_P'!H7</f>
        <v/>
      </c>
      <c r="H7" s="300" t="str">
        <f>'Annex 1 LV and HV charges_P'!I7</f>
        <v>16:00 - 19:00</v>
      </c>
      <c r="I7" s="299" t="str">
        <f>'Annex 1 LV and HV charges_P'!J7</f>
        <v>07:00 - 16:00
19:00 - 21:00</v>
      </c>
      <c r="J7" s="298" t="str">
        <f>'Annex 1 LV and HV charges_P'!K7</f>
        <v/>
      </c>
      <c r="K7" s="48"/>
      <c r="L7" s="330"/>
      <c r="M7" s="330"/>
    </row>
    <row r="8" spans="1:13" s="65" customFormat="1" ht="40" customHeight="1" x14ac:dyDescent="0.3">
      <c r="A8" s="473" t="str">
        <f>'Annex 1 LV and HV charges_P'!A8</f>
        <v>Monday to Friday 
(Including Bank Holidays)
All Year</v>
      </c>
      <c r="B8" s="298" t="str">
        <f>'Annex 1 LV and HV charges_P'!B8</f>
        <v/>
      </c>
      <c r="C8" s="297" t="str">
        <f>'Annex 1 LV and HV charges_P'!C8</f>
        <v/>
      </c>
      <c r="D8" s="301" t="str">
        <f>'Annex 1 LV and HV charges_P'!E8</f>
        <v>00:00 - 07:00
21:00 - 24:00</v>
      </c>
      <c r="E8" s="48"/>
      <c r="F8" s="655" t="str">
        <f>'Annex 1 LV and HV charges_P'!G8</f>
        <v>Monday to Friday 
(Including Bank Holidays)
April to March</v>
      </c>
      <c r="G8" s="655" t="str">
        <f>'Annex 1 LV and HV charges_P'!H8</f>
        <v/>
      </c>
      <c r="H8" s="298" t="str">
        <f>'Annex 1 LV and HV charges_P'!I8</f>
        <v/>
      </c>
      <c r="I8" s="298" t="str">
        <f>'Annex 1 LV and HV charges_P'!J8</f>
        <v/>
      </c>
      <c r="J8" s="301" t="str">
        <f>'Annex 1 LV and HV charges_P'!K8</f>
        <v>00:00 - 07:00
21:00 - 24:00</v>
      </c>
      <c r="K8" s="48"/>
      <c r="L8" s="330"/>
      <c r="M8" s="330"/>
    </row>
    <row r="9" spans="1:13" s="332" customFormat="1" ht="40" customHeight="1" x14ac:dyDescent="0.3">
      <c r="A9" s="474" t="str">
        <f>'Annex 1 LV and HV charges_P'!A9</f>
        <v>Saturday and Sunday
All Year</v>
      </c>
      <c r="B9" s="298" t="str">
        <f>'Annex 1 LV and HV charges_P'!B9</f>
        <v/>
      </c>
      <c r="C9" s="317" t="str">
        <f>'Annex 1 LV and HV charges_P'!C9</f>
        <v>12:00 - 20:00</v>
      </c>
      <c r="D9" s="301" t="str">
        <f>'Annex 1 LV and HV charges_P'!E9</f>
        <v>00:00 - 12:00
20:00 - 24:00</v>
      </c>
      <c r="E9" s="302"/>
      <c r="F9" s="655" t="str">
        <f>'Annex 1 LV and HV charges_P'!G9</f>
        <v>Saturday and Sunday 
All Year</v>
      </c>
      <c r="G9" s="655" t="str">
        <f>'Annex 1 LV and HV charges_P'!H9</f>
        <v/>
      </c>
      <c r="H9" s="298" t="str">
        <f>'Annex 1 LV and HV charges_P'!I9</f>
        <v/>
      </c>
      <c r="I9" s="299" t="str">
        <f>'Annex 1 LV and HV charges_P'!J9</f>
        <v>12:00 - 20:00</v>
      </c>
      <c r="J9" s="301" t="str">
        <f>'Annex 1 LV and HV charges_P'!K9</f>
        <v>00:00 - 12:00
20:00 - 24:00</v>
      </c>
      <c r="K9" s="48"/>
      <c r="L9" s="331"/>
      <c r="M9" s="331"/>
    </row>
    <row r="10" spans="1:13" s="303" customFormat="1" ht="40" customHeight="1" x14ac:dyDescent="0.3">
      <c r="A10" s="474" t="str">
        <f>'Annex 1 LV and HV charges_P'!A10</f>
        <v>Notes</v>
      </c>
      <c r="B10" s="666" t="str">
        <f>'Annex 1 LV and HV charges_P'!B10</f>
        <v>All the above times are in UK Clock time</v>
      </c>
      <c r="C10" s="657" t="str">
        <f>'Annex 1 LV and HV charges_P'!C10</f>
        <v/>
      </c>
      <c r="D10" s="658" t="str">
        <f>'Annex 1 LV and HV charges_P'!D10</f>
        <v/>
      </c>
      <c r="E10" s="524" t="s">
        <v>480</v>
      </c>
      <c r="F10" s="667" t="str">
        <f>'Annex 1 LV and HV charges_P'!G10</f>
        <v>Notes</v>
      </c>
      <c r="G10" s="667" t="str">
        <f>'Annex 1 LV and HV charges_P'!H10</f>
        <v/>
      </c>
      <c r="H10" s="655" t="str">
        <f>'Annex 1 LV and HV charges_P'!I10</f>
        <v>All the above times are in UK Clock time</v>
      </c>
      <c r="I10" s="655" t="str">
        <f>'Annex 1 LV and HV charges_P'!J10</f>
        <v/>
      </c>
      <c r="J10" s="655" t="str">
        <f>'Annex 1 LV and HV charges_P'!K10</f>
        <v/>
      </c>
      <c r="K10" s="48"/>
      <c r="L10" s="333"/>
      <c r="M10" s="333"/>
    </row>
    <row r="11" spans="1:13" ht="75" customHeight="1" x14ac:dyDescent="0.3">
      <c r="A11" s="18" t="s">
        <v>455</v>
      </c>
      <c r="B11" s="18" t="s">
        <v>31</v>
      </c>
      <c r="C11" s="433" t="s">
        <v>24</v>
      </c>
      <c r="D11" s="374" t="s">
        <v>579</v>
      </c>
      <c r="E11" s="374" t="s">
        <v>580</v>
      </c>
      <c r="F11" s="374" t="s">
        <v>581</v>
      </c>
      <c r="G11" s="433" t="s">
        <v>25</v>
      </c>
      <c r="H11" s="433" t="s">
        <v>26</v>
      </c>
      <c r="I11" s="433" t="s">
        <v>456</v>
      </c>
      <c r="J11" s="433" t="s">
        <v>270</v>
      </c>
    </row>
    <row r="12" spans="1:13" ht="35.049999999999997" customHeight="1" x14ac:dyDescent="0.3">
      <c r="A12" s="398" t="s">
        <v>786</v>
      </c>
      <c r="B12" s="437" t="s">
        <v>1275</v>
      </c>
      <c r="C12" s="405" t="s">
        <v>639</v>
      </c>
      <c r="D12" s="501">
        <v>5.5910000000000002</v>
      </c>
      <c r="E12" s="502">
        <v>1.5529999999999999</v>
      </c>
      <c r="F12" s="503">
        <v>0.441</v>
      </c>
      <c r="G12" s="508">
        <v>13.7</v>
      </c>
      <c r="H12" s="509"/>
      <c r="I12" s="399"/>
      <c r="J12" s="500"/>
      <c r="K12" s="26"/>
    </row>
    <row r="13" spans="1:13" ht="35.049999999999997" customHeight="1" x14ac:dyDescent="0.3">
      <c r="A13" s="398" t="s">
        <v>787</v>
      </c>
      <c r="B13" s="17" t="s">
        <v>1220</v>
      </c>
      <c r="C13" s="405">
        <v>2</v>
      </c>
      <c r="D13" s="501">
        <v>5.5910000000000002</v>
      </c>
      <c r="E13" s="502">
        <v>1.5529999999999999</v>
      </c>
      <c r="F13" s="503">
        <v>0.441</v>
      </c>
      <c r="G13" s="509"/>
      <c r="H13" s="509"/>
      <c r="I13" s="399"/>
      <c r="J13" s="500"/>
      <c r="K13" s="26"/>
    </row>
    <row r="14" spans="1:13" ht="35.049999999999997" customHeight="1" x14ac:dyDescent="0.3">
      <c r="A14" s="398" t="s">
        <v>788</v>
      </c>
      <c r="B14" s="17" t="s">
        <v>1221</v>
      </c>
      <c r="C14" s="405" t="s">
        <v>640</v>
      </c>
      <c r="D14" s="501">
        <v>6.8360000000000003</v>
      </c>
      <c r="E14" s="502">
        <v>1.8979999999999999</v>
      </c>
      <c r="F14" s="503">
        <v>0.54</v>
      </c>
      <c r="G14" s="508">
        <v>9.48</v>
      </c>
      <c r="H14" s="509"/>
      <c r="I14" s="399"/>
      <c r="J14" s="500"/>
      <c r="K14" s="26"/>
    </row>
    <row r="15" spans="1:13" ht="35.049999999999997" customHeight="1" x14ac:dyDescent="0.3">
      <c r="A15" s="398" t="s">
        <v>789</v>
      </c>
      <c r="B15" s="17" t="s">
        <v>1222</v>
      </c>
      <c r="C15" s="405" t="s">
        <v>640</v>
      </c>
      <c r="D15" s="501">
        <v>6.8360000000000003</v>
      </c>
      <c r="E15" s="502">
        <v>1.8979999999999999</v>
      </c>
      <c r="F15" s="503">
        <v>0.54</v>
      </c>
      <c r="G15" s="508">
        <v>13.73</v>
      </c>
      <c r="H15" s="509"/>
      <c r="I15" s="399"/>
      <c r="J15" s="500"/>
      <c r="K15" s="26"/>
    </row>
    <row r="16" spans="1:13" ht="35.049999999999997" customHeight="1" x14ac:dyDescent="0.3">
      <c r="A16" s="398" t="s">
        <v>790</v>
      </c>
      <c r="B16" s="17" t="s">
        <v>1223</v>
      </c>
      <c r="C16" s="405" t="s">
        <v>640</v>
      </c>
      <c r="D16" s="501">
        <v>6.8360000000000003</v>
      </c>
      <c r="E16" s="502">
        <v>1.8979999999999999</v>
      </c>
      <c r="F16" s="503">
        <v>0.54</v>
      </c>
      <c r="G16" s="508">
        <v>22.38</v>
      </c>
      <c r="H16" s="509"/>
      <c r="I16" s="399"/>
      <c r="J16" s="500"/>
      <c r="K16" s="26"/>
    </row>
    <row r="17" spans="1:11" ht="35.049999999999997" customHeight="1" x14ac:dyDescent="0.3">
      <c r="A17" s="398" t="s">
        <v>791</v>
      </c>
      <c r="B17" s="17" t="s">
        <v>1224</v>
      </c>
      <c r="C17" s="405" t="s">
        <v>640</v>
      </c>
      <c r="D17" s="501">
        <v>6.8360000000000003</v>
      </c>
      <c r="E17" s="502">
        <v>1.8979999999999999</v>
      </c>
      <c r="F17" s="503">
        <v>0.54</v>
      </c>
      <c r="G17" s="508">
        <v>35.119999999999997</v>
      </c>
      <c r="H17" s="509"/>
      <c r="I17" s="399"/>
      <c r="J17" s="500"/>
      <c r="K17" s="26"/>
    </row>
    <row r="18" spans="1:11" ht="35.049999999999997" customHeight="1" x14ac:dyDescent="0.3">
      <c r="A18" s="398" t="s">
        <v>792</v>
      </c>
      <c r="B18" s="17" t="s">
        <v>1225</v>
      </c>
      <c r="C18" s="405" t="s">
        <v>640</v>
      </c>
      <c r="D18" s="501">
        <v>6.8360000000000003</v>
      </c>
      <c r="E18" s="502">
        <v>1.8979999999999999</v>
      </c>
      <c r="F18" s="503">
        <v>0.54</v>
      </c>
      <c r="G18" s="508">
        <v>77.16</v>
      </c>
      <c r="H18" s="509"/>
      <c r="I18" s="399"/>
      <c r="J18" s="500"/>
      <c r="K18" s="26"/>
    </row>
    <row r="19" spans="1:11" ht="35.049999999999997" customHeight="1" x14ac:dyDescent="0.3">
      <c r="A19" s="398" t="s">
        <v>582</v>
      </c>
      <c r="B19" s="17" t="s">
        <v>1226</v>
      </c>
      <c r="C19" s="405">
        <v>4</v>
      </c>
      <c r="D19" s="501">
        <v>6.8360000000000003</v>
      </c>
      <c r="E19" s="502">
        <v>1.8979999999999999</v>
      </c>
      <c r="F19" s="503">
        <v>0.54</v>
      </c>
      <c r="G19" s="509"/>
      <c r="H19" s="509"/>
      <c r="I19" s="399"/>
      <c r="J19" s="500"/>
      <c r="K19" s="26"/>
    </row>
    <row r="20" spans="1:11" ht="35.049999999999997" customHeight="1" x14ac:dyDescent="0.3">
      <c r="A20" s="398" t="s">
        <v>793</v>
      </c>
      <c r="B20" s="17" t="s">
        <v>1227</v>
      </c>
      <c r="C20" s="405">
        <v>0</v>
      </c>
      <c r="D20" s="501">
        <v>4.5919999999999996</v>
      </c>
      <c r="E20" s="502">
        <v>1.2290000000000001</v>
      </c>
      <c r="F20" s="503">
        <v>0.36099999999999999</v>
      </c>
      <c r="G20" s="508">
        <v>23.59</v>
      </c>
      <c r="H20" s="508">
        <v>4.72</v>
      </c>
      <c r="I20" s="400">
        <v>7.71</v>
      </c>
      <c r="J20" s="499">
        <v>0.19900000000000001</v>
      </c>
      <c r="K20" s="26"/>
    </row>
    <row r="21" spans="1:11" ht="35.049999999999997" customHeight="1" x14ac:dyDescent="0.3">
      <c r="A21" s="398" t="s">
        <v>794</v>
      </c>
      <c r="B21" s="17" t="s">
        <v>1228</v>
      </c>
      <c r="C21" s="405">
        <v>0</v>
      </c>
      <c r="D21" s="501">
        <v>4.5919999999999996</v>
      </c>
      <c r="E21" s="502">
        <v>1.2290000000000001</v>
      </c>
      <c r="F21" s="503">
        <v>0.36099999999999999</v>
      </c>
      <c r="G21" s="508">
        <v>173.89</v>
      </c>
      <c r="H21" s="508">
        <v>4.72</v>
      </c>
      <c r="I21" s="400">
        <v>7.71</v>
      </c>
      <c r="J21" s="499">
        <v>0.19900000000000001</v>
      </c>
      <c r="K21" s="26"/>
    </row>
    <row r="22" spans="1:11" ht="35.049999999999997" customHeight="1" x14ac:dyDescent="0.3">
      <c r="A22" s="398" t="s">
        <v>795</v>
      </c>
      <c r="B22" s="17" t="s">
        <v>1229</v>
      </c>
      <c r="C22" s="405">
        <v>0</v>
      </c>
      <c r="D22" s="501">
        <v>4.5919999999999996</v>
      </c>
      <c r="E22" s="502">
        <v>1.2290000000000001</v>
      </c>
      <c r="F22" s="503">
        <v>0.36099999999999999</v>
      </c>
      <c r="G22" s="508">
        <v>296.74</v>
      </c>
      <c r="H22" s="508">
        <v>4.72</v>
      </c>
      <c r="I22" s="400">
        <v>7.71</v>
      </c>
      <c r="J22" s="499">
        <v>0.19900000000000001</v>
      </c>
      <c r="K22" s="26"/>
    </row>
    <row r="23" spans="1:11" ht="35.049999999999997" customHeight="1" x14ac:dyDescent="0.3">
      <c r="A23" s="398" t="s">
        <v>796</v>
      </c>
      <c r="B23" s="17" t="s">
        <v>1230</v>
      </c>
      <c r="C23" s="405">
        <v>0</v>
      </c>
      <c r="D23" s="501">
        <v>4.5919999999999996</v>
      </c>
      <c r="E23" s="502">
        <v>1.2290000000000001</v>
      </c>
      <c r="F23" s="503">
        <v>0.36099999999999999</v>
      </c>
      <c r="G23" s="508">
        <v>478.41</v>
      </c>
      <c r="H23" s="508">
        <v>4.72</v>
      </c>
      <c r="I23" s="400">
        <v>7.71</v>
      </c>
      <c r="J23" s="499">
        <v>0.19900000000000001</v>
      </c>
      <c r="K23" s="26"/>
    </row>
    <row r="24" spans="1:11" ht="35.049999999999997" customHeight="1" x14ac:dyDescent="0.3">
      <c r="A24" s="398" t="s">
        <v>797</v>
      </c>
      <c r="B24" s="17" t="s">
        <v>1231</v>
      </c>
      <c r="C24" s="405">
        <v>0</v>
      </c>
      <c r="D24" s="501">
        <v>4.5919999999999996</v>
      </c>
      <c r="E24" s="502">
        <v>1.2290000000000001</v>
      </c>
      <c r="F24" s="503">
        <v>0.36099999999999999</v>
      </c>
      <c r="G24" s="508">
        <v>1075.24</v>
      </c>
      <c r="H24" s="508">
        <v>4.72</v>
      </c>
      <c r="I24" s="400">
        <v>7.71</v>
      </c>
      <c r="J24" s="499">
        <v>0.19900000000000001</v>
      </c>
      <c r="K24" s="26"/>
    </row>
    <row r="25" spans="1:11" ht="35.049999999999997" customHeight="1" x14ac:dyDescent="0.3">
      <c r="A25" s="398" t="s">
        <v>583</v>
      </c>
      <c r="B25" s="17" t="s">
        <v>1232</v>
      </c>
      <c r="C25" s="405" t="s">
        <v>616</v>
      </c>
      <c r="D25" s="504">
        <v>10.731999999999999</v>
      </c>
      <c r="E25" s="505">
        <v>3.63</v>
      </c>
      <c r="F25" s="503">
        <v>2.964</v>
      </c>
      <c r="G25" s="509"/>
      <c r="H25" s="509"/>
      <c r="I25" s="399"/>
      <c r="J25" s="500"/>
      <c r="K25" s="26"/>
    </row>
    <row r="26" spans="1:11" ht="35.049999999999997" customHeight="1" x14ac:dyDescent="0.3">
      <c r="A26" s="398" t="s">
        <v>686</v>
      </c>
      <c r="B26" s="17" t="s">
        <v>1233</v>
      </c>
      <c r="C26" s="405">
        <v>0</v>
      </c>
      <c r="D26" s="501">
        <v>-6.2619999999999996</v>
      </c>
      <c r="E26" s="502">
        <v>-1.7390000000000001</v>
      </c>
      <c r="F26" s="503">
        <v>-0.49399999999999999</v>
      </c>
      <c r="G26" s="508">
        <v>0</v>
      </c>
      <c r="H26" s="509"/>
      <c r="I26" s="399"/>
      <c r="J26" s="500"/>
      <c r="K26" s="26"/>
    </row>
    <row r="27" spans="1:11" ht="35.049999999999997" customHeight="1" x14ac:dyDescent="0.3">
      <c r="A27" s="398" t="s">
        <v>687</v>
      </c>
      <c r="B27" s="17" t="s">
        <v>1234</v>
      </c>
      <c r="C27" s="405">
        <v>0</v>
      </c>
      <c r="D27" s="501">
        <v>-6.2619999999999996</v>
      </c>
      <c r="E27" s="502">
        <v>-1.7390000000000001</v>
      </c>
      <c r="F27" s="503">
        <v>-0.49399999999999999</v>
      </c>
      <c r="G27" s="508">
        <v>0</v>
      </c>
      <c r="H27" s="509"/>
      <c r="I27" s="399"/>
      <c r="J27" s="499">
        <v>0.29199999999999998</v>
      </c>
      <c r="K27" s="26"/>
    </row>
    <row r="28" spans="1:11" ht="35.049999999999997" customHeight="1" x14ac:dyDescent="0.3">
      <c r="A28" s="401" t="s">
        <v>798</v>
      </c>
      <c r="B28" s="17" t="s">
        <v>1235</v>
      </c>
      <c r="C28" s="405" t="s">
        <v>639</v>
      </c>
      <c r="D28" s="501">
        <v>3.6659999999999999</v>
      </c>
      <c r="E28" s="502">
        <v>1.018</v>
      </c>
      <c r="F28" s="503">
        <v>0.28899999999999998</v>
      </c>
      <c r="G28" s="508">
        <v>9.11</v>
      </c>
      <c r="H28" s="509"/>
      <c r="I28" s="399"/>
      <c r="J28" s="500"/>
      <c r="K28" s="26"/>
    </row>
    <row r="29" spans="1:11" ht="35.049999999999997" customHeight="1" x14ac:dyDescent="0.3">
      <c r="A29" s="401" t="s">
        <v>799</v>
      </c>
      <c r="B29" s="17" t="s">
        <v>1236</v>
      </c>
      <c r="C29" s="405">
        <v>2</v>
      </c>
      <c r="D29" s="501">
        <v>3.6659999999999999</v>
      </c>
      <c r="E29" s="502">
        <v>1.018</v>
      </c>
      <c r="F29" s="503">
        <v>0.28899999999999998</v>
      </c>
      <c r="G29" s="509"/>
      <c r="H29" s="509"/>
      <c r="I29" s="399"/>
      <c r="J29" s="500"/>
      <c r="K29" s="26"/>
    </row>
    <row r="30" spans="1:11" ht="35.049999999999997" customHeight="1" x14ac:dyDescent="0.3">
      <c r="A30" s="401" t="s">
        <v>800</v>
      </c>
      <c r="B30" s="17" t="s">
        <v>1237</v>
      </c>
      <c r="C30" s="405" t="s">
        <v>640</v>
      </c>
      <c r="D30" s="501">
        <v>4.4820000000000002</v>
      </c>
      <c r="E30" s="502">
        <v>1.2450000000000001</v>
      </c>
      <c r="F30" s="503">
        <v>0.35399999999999998</v>
      </c>
      <c r="G30" s="508">
        <v>6.31</v>
      </c>
      <c r="H30" s="509"/>
      <c r="I30" s="399"/>
      <c r="J30" s="500"/>
      <c r="K30" s="26"/>
    </row>
    <row r="31" spans="1:11" ht="35.049999999999997" customHeight="1" x14ac:dyDescent="0.3">
      <c r="A31" s="401" t="s">
        <v>801</v>
      </c>
      <c r="B31" s="17" t="s">
        <v>1238</v>
      </c>
      <c r="C31" s="405" t="s">
        <v>640</v>
      </c>
      <c r="D31" s="501">
        <v>4.4820000000000002</v>
      </c>
      <c r="E31" s="502">
        <v>1.2450000000000001</v>
      </c>
      <c r="F31" s="503">
        <v>0.35399999999999998</v>
      </c>
      <c r="G31" s="508">
        <v>9.09</v>
      </c>
      <c r="H31" s="509"/>
      <c r="I31" s="399"/>
      <c r="J31" s="500"/>
      <c r="K31" s="26"/>
    </row>
    <row r="32" spans="1:11" ht="35.049999999999997" customHeight="1" x14ac:dyDescent="0.3">
      <c r="A32" s="401" t="s">
        <v>802</v>
      </c>
      <c r="B32" s="17" t="s">
        <v>1242</v>
      </c>
      <c r="C32" s="405" t="s">
        <v>640</v>
      </c>
      <c r="D32" s="501">
        <v>4.4820000000000002</v>
      </c>
      <c r="E32" s="502">
        <v>1.2450000000000001</v>
      </c>
      <c r="F32" s="503">
        <v>0.35399999999999998</v>
      </c>
      <c r="G32" s="508">
        <v>14.77</v>
      </c>
      <c r="H32" s="509"/>
      <c r="I32" s="399"/>
      <c r="J32" s="500"/>
      <c r="K32" s="26"/>
    </row>
    <row r="33" spans="1:11" ht="35.049999999999997" customHeight="1" x14ac:dyDescent="0.3">
      <c r="A33" s="401" t="s">
        <v>803</v>
      </c>
      <c r="B33" s="17" t="s">
        <v>1243</v>
      </c>
      <c r="C33" s="405" t="s">
        <v>640</v>
      </c>
      <c r="D33" s="501">
        <v>4.4820000000000002</v>
      </c>
      <c r="E33" s="502">
        <v>1.2450000000000001</v>
      </c>
      <c r="F33" s="503">
        <v>0.35399999999999998</v>
      </c>
      <c r="G33" s="508">
        <v>23.12</v>
      </c>
      <c r="H33" s="509"/>
      <c r="I33" s="399"/>
      <c r="J33" s="500"/>
      <c r="K33" s="26"/>
    </row>
    <row r="34" spans="1:11" ht="35.049999999999997" customHeight="1" x14ac:dyDescent="0.3">
      <c r="A34" s="401" t="s">
        <v>804</v>
      </c>
      <c r="B34" s="17" t="s">
        <v>1244</v>
      </c>
      <c r="C34" s="405" t="s">
        <v>640</v>
      </c>
      <c r="D34" s="501">
        <v>4.4820000000000002</v>
      </c>
      <c r="E34" s="502">
        <v>1.2450000000000001</v>
      </c>
      <c r="F34" s="503">
        <v>0.35399999999999998</v>
      </c>
      <c r="G34" s="508">
        <v>50.68</v>
      </c>
      <c r="H34" s="509"/>
      <c r="I34" s="399"/>
      <c r="J34" s="500"/>
      <c r="K34" s="26"/>
    </row>
    <row r="35" spans="1:11" ht="35.049999999999997" customHeight="1" x14ac:dyDescent="0.3">
      <c r="A35" s="401" t="s">
        <v>584</v>
      </c>
      <c r="B35" s="17" t="s">
        <v>1239</v>
      </c>
      <c r="C35" s="405">
        <v>4</v>
      </c>
      <c r="D35" s="501">
        <v>4.4820000000000002</v>
      </c>
      <c r="E35" s="502">
        <v>1.2450000000000001</v>
      </c>
      <c r="F35" s="503">
        <v>0.35399999999999998</v>
      </c>
      <c r="G35" s="509"/>
      <c r="H35" s="509"/>
      <c r="I35" s="399"/>
      <c r="J35" s="500"/>
      <c r="K35" s="26"/>
    </row>
    <row r="36" spans="1:11" ht="35.049999999999997" customHeight="1" x14ac:dyDescent="0.3">
      <c r="A36" s="401" t="s">
        <v>805</v>
      </c>
      <c r="B36" s="17" t="s">
        <v>1240</v>
      </c>
      <c r="C36" s="405">
        <v>0</v>
      </c>
      <c r="D36" s="501">
        <v>3.0110000000000001</v>
      </c>
      <c r="E36" s="502">
        <v>0.80600000000000005</v>
      </c>
      <c r="F36" s="503">
        <v>0.23699999999999999</v>
      </c>
      <c r="G36" s="508">
        <v>15.56</v>
      </c>
      <c r="H36" s="508">
        <v>3.09</v>
      </c>
      <c r="I36" s="400">
        <v>5.0599999999999996</v>
      </c>
      <c r="J36" s="499">
        <v>0.13100000000000001</v>
      </c>
      <c r="K36" s="26"/>
    </row>
    <row r="37" spans="1:11" ht="35.049999999999997" customHeight="1" x14ac:dyDescent="0.3">
      <c r="A37" s="401" t="s">
        <v>806</v>
      </c>
      <c r="B37" s="17" t="s">
        <v>1241</v>
      </c>
      <c r="C37" s="405">
        <v>0</v>
      </c>
      <c r="D37" s="501">
        <v>3.0110000000000001</v>
      </c>
      <c r="E37" s="502">
        <v>0.80600000000000005</v>
      </c>
      <c r="F37" s="503">
        <v>0.23699999999999999</v>
      </c>
      <c r="G37" s="508">
        <v>114.11</v>
      </c>
      <c r="H37" s="508">
        <v>3.09</v>
      </c>
      <c r="I37" s="400">
        <v>5.0599999999999996</v>
      </c>
      <c r="J37" s="499">
        <v>0.13100000000000001</v>
      </c>
      <c r="K37" s="26"/>
    </row>
    <row r="38" spans="1:11" ht="35.049999999999997" customHeight="1" x14ac:dyDescent="0.3">
      <c r="A38" s="401" t="s">
        <v>807</v>
      </c>
      <c r="B38" s="17" t="s">
        <v>1245</v>
      </c>
      <c r="C38" s="405">
        <v>0</v>
      </c>
      <c r="D38" s="501">
        <v>3.0110000000000001</v>
      </c>
      <c r="E38" s="502">
        <v>0.80600000000000005</v>
      </c>
      <c r="F38" s="503">
        <v>0.23699999999999999</v>
      </c>
      <c r="G38" s="508">
        <v>194.66</v>
      </c>
      <c r="H38" s="508">
        <v>3.09</v>
      </c>
      <c r="I38" s="400">
        <v>5.0599999999999996</v>
      </c>
      <c r="J38" s="499">
        <v>0.13100000000000001</v>
      </c>
      <c r="K38" s="26"/>
    </row>
    <row r="39" spans="1:11" ht="35.049999999999997" customHeight="1" x14ac:dyDescent="0.3">
      <c r="A39" s="401" t="s">
        <v>808</v>
      </c>
      <c r="B39" s="17" t="s">
        <v>1246</v>
      </c>
      <c r="C39" s="405">
        <v>0</v>
      </c>
      <c r="D39" s="501">
        <v>3.0110000000000001</v>
      </c>
      <c r="E39" s="502">
        <v>0.80600000000000005</v>
      </c>
      <c r="F39" s="503">
        <v>0.23699999999999999</v>
      </c>
      <c r="G39" s="508">
        <v>313.79000000000002</v>
      </c>
      <c r="H39" s="508">
        <v>3.09</v>
      </c>
      <c r="I39" s="400">
        <v>5.0599999999999996</v>
      </c>
      <c r="J39" s="499">
        <v>0.13100000000000001</v>
      </c>
      <c r="K39" s="26"/>
    </row>
    <row r="40" spans="1:11" ht="35.049999999999997" customHeight="1" x14ac:dyDescent="0.3">
      <c r="A40" s="401" t="s">
        <v>809</v>
      </c>
      <c r="B40" s="17" t="s">
        <v>1247</v>
      </c>
      <c r="C40" s="405">
        <v>0</v>
      </c>
      <c r="D40" s="501">
        <v>3.0110000000000001</v>
      </c>
      <c r="E40" s="502">
        <v>0.80600000000000005</v>
      </c>
      <c r="F40" s="503">
        <v>0.23699999999999999</v>
      </c>
      <c r="G40" s="508">
        <v>705.13</v>
      </c>
      <c r="H40" s="508">
        <v>3.09</v>
      </c>
      <c r="I40" s="400">
        <v>5.0599999999999996</v>
      </c>
      <c r="J40" s="499">
        <v>0.13100000000000001</v>
      </c>
      <c r="K40" s="26"/>
    </row>
    <row r="41" spans="1:11" ht="35.049999999999997" customHeight="1" x14ac:dyDescent="0.3">
      <c r="A41" s="401" t="s">
        <v>810</v>
      </c>
      <c r="B41" s="392"/>
      <c r="C41" s="405">
        <v>0</v>
      </c>
      <c r="D41" s="501">
        <v>2.4369999999999998</v>
      </c>
      <c r="E41" s="502">
        <v>0.54700000000000004</v>
      </c>
      <c r="F41" s="503">
        <v>0.188</v>
      </c>
      <c r="G41" s="508">
        <v>60.05</v>
      </c>
      <c r="H41" s="508">
        <v>7.02</v>
      </c>
      <c r="I41" s="400">
        <v>9.2200000000000006</v>
      </c>
      <c r="J41" s="499">
        <v>8.5000000000000006E-2</v>
      </c>
      <c r="K41" s="26"/>
    </row>
    <row r="42" spans="1:11" ht="35.049999999999997" customHeight="1" x14ac:dyDescent="0.3">
      <c r="A42" s="401" t="s">
        <v>811</v>
      </c>
      <c r="B42" s="392"/>
      <c r="C42" s="405">
        <v>0</v>
      </c>
      <c r="D42" s="501">
        <v>2.4369999999999998</v>
      </c>
      <c r="E42" s="502">
        <v>0.54700000000000004</v>
      </c>
      <c r="F42" s="503">
        <v>0.188</v>
      </c>
      <c r="G42" s="508">
        <v>202.59</v>
      </c>
      <c r="H42" s="508">
        <v>7.02</v>
      </c>
      <c r="I42" s="400">
        <v>9.2200000000000006</v>
      </c>
      <c r="J42" s="499">
        <v>8.5000000000000006E-2</v>
      </c>
      <c r="K42" s="26"/>
    </row>
    <row r="43" spans="1:11" ht="35.049999999999997" customHeight="1" x14ac:dyDescent="0.3">
      <c r="A43" s="401" t="s">
        <v>812</v>
      </c>
      <c r="B43" s="392"/>
      <c r="C43" s="405">
        <v>0</v>
      </c>
      <c r="D43" s="501">
        <v>2.4369999999999998</v>
      </c>
      <c r="E43" s="502">
        <v>0.54700000000000004</v>
      </c>
      <c r="F43" s="503">
        <v>0.188</v>
      </c>
      <c r="G43" s="508">
        <v>319.11</v>
      </c>
      <c r="H43" s="508">
        <v>7.02</v>
      </c>
      <c r="I43" s="400">
        <v>9.2200000000000006</v>
      </c>
      <c r="J43" s="499">
        <v>8.5000000000000006E-2</v>
      </c>
      <c r="K43" s="26"/>
    </row>
    <row r="44" spans="1:11" ht="35.049999999999997" customHeight="1" x14ac:dyDescent="0.3">
      <c r="A44" s="401" t="s">
        <v>813</v>
      </c>
      <c r="B44" s="392"/>
      <c r="C44" s="405">
        <v>0</v>
      </c>
      <c r="D44" s="501">
        <v>2.4369999999999998</v>
      </c>
      <c r="E44" s="502">
        <v>0.54700000000000004</v>
      </c>
      <c r="F44" s="503">
        <v>0.188</v>
      </c>
      <c r="G44" s="508">
        <v>491.41</v>
      </c>
      <c r="H44" s="508">
        <v>7.02</v>
      </c>
      <c r="I44" s="400">
        <v>9.2200000000000006</v>
      </c>
      <c r="J44" s="499">
        <v>8.5000000000000006E-2</v>
      </c>
    </row>
    <row r="45" spans="1:11" ht="35.049999999999997" customHeight="1" x14ac:dyDescent="0.3">
      <c r="A45" s="401" t="s">
        <v>814</v>
      </c>
      <c r="B45" s="392"/>
      <c r="C45" s="405">
        <v>0</v>
      </c>
      <c r="D45" s="501">
        <v>2.4369999999999998</v>
      </c>
      <c r="E45" s="502">
        <v>0.54700000000000004</v>
      </c>
      <c r="F45" s="503">
        <v>0.188</v>
      </c>
      <c r="G45" s="508">
        <v>1057.46</v>
      </c>
      <c r="H45" s="508">
        <v>7.02</v>
      </c>
      <c r="I45" s="400">
        <v>9.2200000000000006</v>
      </c>
      <c r="J45" s="499">
        <v>8.5000000000000006E-2</v>
      </c>
    </row>
    <row r="46" spans="1:11" ht="35.049999999999997" customHeight="1" x14ac:dyDescent="0.3">
      <c r="A46" s="401" t="s">
        <v>815</v>
      </c>
      <c r="B46" s="17" t="s">
        <v>1248</v>
      </c>
      <c r="C46" s="405">
        <v>0</v>
      </c>
      <c r="D46" s="501">
        <v>1.387</v>
      </c>
      <c r="E46" s="502">
        <v>0.3</v>
      </c>
      <c r="F46" s="503">
        <v>0.13500000000000001</v>
      </c>
      <c r="G46" s="508">
        <v>288.44</v>
      </c>
      <c r="H46" s="508">
        <v>10.17</v>
      </c>
      <c r="I46" s="400">
        <v>11.67</v>
      </c>
      <c r="J46" s="499">
        <v>5.6000000000000001E-2</v>
      </c>
    </row>
    <row r="47" spans="1:11" ht="35.049999999999997" customHeight="1" x14ac:dyDescent="0.3">
      <c r="A47" s="401" t="s">
        <v>816</v>
      </c>
      <c r="B47" s="17" t="s">
        <v>1276</v>
      </c>
      <c r="C47" s="405">
        <v>0</v>
      </c>
      <c r="D47" s="501">
        <v>1.387</v>
      </c>
      <c r="E47" s="502">
        <v>0.3</v>
      </c>
      <c r="F47" s="503">
        <v>0.13500000000000001</v>
      </c>
      <c r="G47" s="508">
        <v>625.76</v>
      </c>
      <c r="H47" s="508">
        <v>10.17</v>
      </c>
      <c r="I47" s="400">
        <v>11.67</v>
      </c>
      <c r="J47" s="499">
        <v>5.6000000000000001E-2</v>
      </c>
    </row>
    <row r="48" spans="1:11" ht="35.049999999999997" customHeight="1" x14ac:dyDescent="0.3">
      <c r="A48" s="401" t="s">
        <v>817</v>
      </c>
      <c r="B48" s="17" t="s">
        <v>1277</v>
      </c>
      <c r="C48" s="405">
        <v>0</v>
      </c>
      <c r="D48" s="501">
        <v>1.387</v>
      </c>
      <c r="E48" s="502">
        <v>0.3</v>
      </c>
      <c r="F48" s="503">
        <v>0.13500000000000001</v>
      </c>
      <c r="G48" s="508">
        <v>2423.36</v>
      </c>
      <c r="H48" s="508">
        <v>10.17</v>
      </c>
      <c r="I48" s="400">
        <v>11.67</v>
      </c>
      <c r="J48" s="499">
        <v>5.6000000000000001E-2</v>
      </c>
    </row>
    <row r="49" spans="1:10" ht="35.049999999999997" customHeight="1" x14ac:dyDescent="0.3">
      <c r="A49" s="401" t="s">
        <v>818</v>
      </c>
      <c r="B49" s="17" t="s">
        <v>1278</v>
      </c>
      <c r="C49" s="405">
        <v>0</v>
      </c>
      <c r="D49" s="501">
        <v>1.387</v>
      </c>
      <c r="E49" s="502">
        <v>0.3</v>
      </c>
      <c r="F49" s="503">
        <v>0.13500000000000001</v>
      </c>
      <c r="G49" s="508">
        <v>5401.22</v>
      </c>
      <c r="H49" s="508">
        <v>10.17</v>
      </c>
      <c r="I49" s="400">
        <v>11.67</v>
      </c>
      <c r="J49" s="499">
        <v>5.6000000000000001E-2</v>
      </c>
    </row>
    <row r="50" spans="1:10" ht="35.049999999999997" customHeight="1" x14ac:dyDescent="0.3">
      <c r="A50" s="401" t="s">
        <v>819</v>
      </c>
      <c r="B50" s="17" t="s">
        <v>1279</v>
      </c>
      <c r="C50" s="405">
        <v>0</v>
      </c>
      <c r="D50" s="501">
        <v>1.387</v>
      </c>
      <c r="E50" s="502">
        <v>0.3</v>
      </c>
      <c r="F50" s="503">
        <v>0.13500000000000001</v>
      </c>
      <c r="G50" s="508">
        <v>10849.5</v>
      </c>
      <c r="H50" s="508">
        <v>10.17</v>
      </c>
      <c r="I50" s="400">
        <v>11.67</v>
      </c>
      <c r="J50" s="499">
        <v>5.6000000000000001E-2</v>
      </c>
    </row>
    <row r="51" spans="1:10" ht="35.049999999999997" customHeight="1" x14ac:dyDescent="0.3">
      <c r="A51" s="401" t="s">
        <v>585</v>
      </c>
      <c r="B51" s="17" t="s">
        <v>1253</v>
      </c>
      <c r="C51" s="405" t="s">
        <v>616</v>
      </c>
      <c r="D51" s="504">
        <v>7.0369999999999999</v>
      </c>
      <c r="E51" s="505">
        <v>2.38</v>
      </c>
      <c r="F51" s="503">
        <v>1.944</v>
      </c>
      <c r="G51" s="509"/>
      <c r="H51" s="509"/>
      <c r="I51" s="399"/>
      <c r="J51" s="500"/>
    </row>
    <row r="52" spans="1:10" ht="35.049999999999997" customHeight="1" x14ac:dyDescent="0.3">
      <c r="A52" s="401" t="s">
        <v>688</v>
      </c>
      <c r="B52" s="17" t="s">
        <v>1254</v>
      </c>
      <c r="C52" s="405">
        <v>0</v>
      </c>
      <c r="D52" s="501">
        <v>-6.2619999999999996</v>
      </c>
      <c r="E52" s="502">
        <v>-1.7390000000000001</v>
      </c>
      <c r="F52" s="503">
        <v>-0.49399999999999999</v>
      </c>
      <c r="G52" s="508">
        <v>0</v>
      </c>
      <c r="H52" s="509"/>
      <c r="I52" s="399"/>
      <c r="J52" s="500"/>
    </row>
    <row r="53" spans="1:10" ht="35.049999999999997" customHeight="1" x14ac:dyDescent="0.3">
      <c r="A53" s="401" t="s">
        <v>689</v>
      </c>
      <c r="B53" s="392"/>
      <c r="C53" s="405">
        <v>0</v>
      </c>
      <c r="D53" s="501">
        <v>-5.5910000000000002</v>
      </c>
      <c r="E53" s="502">
        <v>-1.528</v>
      </c>
      <c r="F53" s="503">
        <v>-0.441</v>
      </c>
      <c r="G53" s="508">
        <v>0</v>
      </c>
      <c r="H53" s="509"/>
      <c r="I53" s="399"/>
      <c r="J53" s="500"/>
    </row>
    <row r="54" spans="1:10" ht="35.049999999999997" customHeight="1" x14ac:dyDescent="0.3">
      <c r="A54" s="401" t="s">
        <v>599</v>
      </c>
      <c r="B54" s="17" t="s">
        <v>1255</v>
      </c>
      <c r="C54" s="405">
        <v>0</v>
      </c>
      <c r="D54" s="501">
        <v>-6.2619999999999996</v>
      </c>
      <c r="E54" s="502">
        <v>-1.7390000000000001</v>
      </c>
      <c r="F54" s="503">
        <v>-0.49399999999999999</v>
      </c>
      <c r="G54" s="508">
        <v>0</v>
      </c>
      <c r="H54" s="509"/>
      <c r="I54" s="399"/>
      <c r="J54" s="499">
        <v>0.29199999999999998</v>
      </c>
    </row>
    <row r="55" spans="1:10" ht="35.049999999999997" customHeight="1" x14ac:dyDescent="0.3">
      <c r="A55" s="401" t="s">
        <v>690</v>
      </c>
      <c r="B55" s="392"/>
      <c r="C55" s="405">
        <v>0</v>
      </c>
      <c r="D55" s="501">
        <v>-5.5910000000000002</v>
      </c>
      <c r="E55" s="502">
        <v>-1.528</v>
      </c>
      <c r="F55" s="503">
        <v>-0.441</v>
      </c>
      <c r="G55" s="508">
        <v>0</v>
      </c>
      <c r="H55" s="509"/>
      <c r="I55" s="399"/>
      <c r="J55" s="499">
        <v>0.24099999999999999</v>
      </c>
    </row>
    <row r="56" spans="1:10" ht="35.049999999999997" customHeight="1" x14ac:dyDescent="0.3">
      <c r="A56" s="401" t="s">
        <v>600</v>
      </c>
      <c r="B56" s="17" t="s">
        <v>1257</v>
      </c>
      <c r="C56" s="405">
        <v>0</v>
      </c>
      <c r="D56" s="501">
        <v>-2.8820000000000001</v>
      </c>
      <c r="E56" s="502">
        <v>-0.64700000000000002</v>
      </c>
      <c r="F56" s="503">
        <v>-0.223</v>
      </c>
      <c r="G56" s="508">
        <v>0</v>
      </c>
      <c r="H56" s="509"/>
      <c r="I56" s="399"/>
      <c r="J56" s="499">
        <v>0.216</v>
      </c>
    </row>
    <row r="57" spans="1:10" ht="35.049999999999997" hidden="1" customHeight="1" x14ac:dyDescent="0.3">
      <c r="A57" s="398" t="s">
        <v>820</v>
      </c>
      <c r="B57" s="17"/>
      <c r="C57" s="405" t="s">
        <v>639</v>
      </c>
      <c r="D57" s="501">
        <v>2.395</v>
      </c>
      <c r="E57" s="502">
        <v>0.66500000000000004</v>
      </c>
      <c r="F57" s="503">
        <v>0.189</v>
      </c>
      <c r="G57" s="508">
        <v>6.08</v>
      </c>
      <c r="H57" s="509"/>
      <c r="I57" s="399"/>
      <c r="J57" s="500"/>
    </row>
    <row r="58" spans="1:10" ht="35.049999999999997" hidden="1" customHeight="1" x14ac:dyDescent="0.3">
      <c r="A58" s="398" t="s">
        <v>821</v>
      </c>
      <c r="B58" s="17"/>
      <c r="C58" s="405">
        <v>2</v>
      </c>
      <c r="D58" s="501">
        <v>2.395</v>
      </c>
      <c r="E58" s="502">
        <v>0.66500000000000004</v>
      </c>
      <c r="F58" s="503">
        <v>0.189</v>
      </c>
      <c r="G58" s="509"/>
      <c r="H58" s="509"/>
      <c r="I58" s="399"/>
      <c r="J58" s="500"/>
    </row>
    <row r="59" spans="1:10" ht="35.049999999999997" hidden="1" customHeight="1" x14ac:dyDescent="0.3">
      <c r="A59" s="398" t="s">
        <v>822</v>
      </c>
      <c r="B59" s="17"/>
      <c r="C59" s="405" t="s">
        <v>640</v>
      </c>
      <c r="D59" s="501">
        <v>2.9289999999999998</v>
      </c>
      <c r="E59" s="502">
        <v>0.81299999999999994</v>
      </c>
      <c r="F59" s="503">
        <v>0.23100000000000001</v>
      </c>
      <c r="G59" s="508">
        <v>4.21</v>
      </c>
      <c r="H59" s="509"/>
      <c r="I59" s="399"/>
      <c r="J59" s="500"/>
    </row>
    <row r="60" spans="1:10" ht="35.049999999999997" hidden="1" customHeight="1" x14ac:dyDescent="0.3">
      <c r="A60" s="398" t="s">
        <v>823</v>
      </c>
      <c r="B60" s="17"/>
      <c r="C60" s="405" t="s">
        <v>640</v>
      </c>
      <c r="D60" s="501">
        <v>2.9289999999999998</v>
      </c>
      <c r="E60" s="502">
        <v>0.81299999999999994</v>
      </c>
      <c r="F60" s="503">
        <v>0.23100000000000001</v>
      </c>
      <c r="G60" s="508">
        <v>6.03</v>
      </c>
      <c r="H60" s="509"/>
      <c r="I60" s="399"/>
      <c r="J60" s="500"/>
    </row>
    <row r="61" spans="1:10" ht="35.049999999999997" hidden="1" customHeight="1" x14ac:dyDescent="0.3">
      <c r="A61" s="398" t="s">
        <v>824</v>
      </c>
      <c r="B61" s="17"/>
      <c r="C61" s="405" t="s">
        <v>640</v>
      </c>
      <c r="D61" s="501">
        <v>2.9289999999999998</v>
      </c>
      <c r="E61" s="502">
        <v>0.81299999999999994</v>
      </c>
      <c r="F61" s="503">
        <v>0.23100000000000001</v>
      </c>
      <c r="G61" s="508">
        <v>9.74</v>
      </c>
      <c r="H61" s="509"/>
      <c r="I61" s="399"/>
      <c r="J61" s="500"/>
    </row>
    <row r="62" spans="1:10" ht="35.049999999999997" hidden="1" customHeight="1" x14ac:dyDescent="0.3">
      <c r="A62" s="398" t="s">
        <v>825</v>
      </c>
      <c r="B62" s="17"/>
      <c r="C62" s="405" t="s">
        <v>640</v>
      </c>
      <c r="D62" s="501">
        <v>2.9289999999999998</v>
      </c>
      <c r="E62" s="502">
        <v>0.81299999999999994</v>
      </c>
      <c r="F62" s="503">
        <v>0.23100000000000001</v>
      </c>
      <c r="G62" s="508">
        <v>15.2</v>
      </c>
      <c r="H62" s="509"/>
      <c r="I62" s="399"/>
      <c r="J62" s="500"/>
    </row>
    <row r="63" spans="1:10" ht="35.049999999999997" hidden="1" customHeight="1" x14ac:dyDescent="0.3">
      <c r="A63" s="398" t="s">
        <v>826</v>
      </c>
      <c r="B63" s="17"/>
      <c r="C63" s="405" t="s">
        <v>640</v>
      </c>
      <c r="D63" s="501">
        <v>2.9289999999999998</v>
      </c>
      <c r="E63" s="502">
        <v>0.81299999999999994</v>
      </c>
      <c r="F63" s="503">
        <v>0.23100000000000001</v>
      </c>
      <c r="G63" s="508">
        <v>33.21</v>
      </c>
      <c r="H63" s="509"/>
      <c r="I63" s="399"/>
      <c r="J63" s="500"/>
    </row>
    <row r="64" spans="1:10" ht="35.049999999999997" hidden="1" customHeight="1" x14ac:dyDescent="0.3">
      <c r="A64" s="398" t="s">
        <v>586</v>
      </c>
      <c r="B64" s="17"/>
      <c r="C64" s="405">
        <v>4</v>
      </c>
      <c r="D64" s="501">
        <v>2.9289999999999998</v>
      </c>
      <c r="E64" s="502">
        <v>0.81299999999999994</v>
      </c>
      <c r="F64" s="503">
        <v>0.23100000000000001</v>
      </c>
      <c r="G64" s="509"/>
      <c r="H64" s="509"/>
      <c r="I64" s="399"/>
      <c r="J64" s="500"/>
    </row>
    <row r="65" spans="1:10" ht="35.049999999999997" hidden="1" customHeight="1" x14ac:dyDescent="0.3">
      <c r="A65" s="398" t="s">
        <v>827</v>
      </c>
      <c r="B65" s="17"/>
      <c r="C65" s="405">
        <v>0</v>
      </c>
      <c r="D65" s="501">
        <v>1.968</v>
      </c>
      <c r="E65" s="502">
        <v>0.52600000000000002</v>
      </c>
      <c r="F65" s="503">
        <v>0.155</v>
      </c>
      <c r="G65" s="508">
        <v>10.26</v>
      </c>
      <c r="H65" s="508">
        <v>2.02</v>
      </c>
      <c r="I65" s="400">
        <v>3.31</v>
      </c>
      <c r="J65" s="499">
        <v>8.5000000000000006E-2</v>
      </c>
    </row>
    <row r="66" spans="1:10" ht="35.049999999999997" hidden="1" customHeight="1" x14ac:dyDescent="0.3">
      <c r="A66" s="398" t="s">
        <v>828</v>
      </c>
      <c r="B66" s="17"/>
      <c r="C66" s="405">
        <v>0</v>
      </c>
      <c r="D66" s="501">
        <v>1.968</v>
      </c>
      <c r="E66" s="502">
        <v>0.52600000000000002</v>
      </c>
      <c r="F66" s="503">
        <v>0.155</v>
      </c>
      <c r="G66" s="508">
        <v>74.650000000000006</v>
      </c>
      <c r="H66" s="508">
        <v>2.02</v>
      </c>
      <c r="I66" s="400">
        <v>3.31</v>
      </c>
      <c r="J66" s="499">
        <v>8.5000000000000006E-2</v>
      </c>
    </row>
    <row r="67" spans="1:10" ht="35.049999999999997" hidden="1" customHeight="1" x14ac:dyDescent="0.3">
      <c r="A67" s="398" t="s">
        <v>829</v>
      </c>
      <c r="B67" s="17"/>
      <c r="C67" s="405">
        <v>0</v>
      </c>
      <c r="D67" s="501">
        <v>1.968</v>
      </c>
      <c r="E67" s="502">
        <v>0.52600000000000002</v>
      </c>
      <c r="F67" s="503">
        <v>0.155</v>
      </c>
      <c r="G67" s="508">
        <v>127.29</v>
      </c>
      <c r="H67" s="508">
        <v>2.02</v>
      </c>
      <c r="I67" s="400">
        <v>3.31</v>
      </c>
      <c r="J67" s="499">
        <v>8.5000000000000006E-2</v>
      </c>
    </row>
    <row r="68" spans="1:10" ht="35.049999999999997" hidden="1" customHeight="1" x14ac:dyDescent="0.3">
      <c r="A68" s="398" t="s">
        <v>830</v>
      </c>
      <c r="B68" s="17"/>
      <c r="C68" s="405">
        <v>0</v>
      </c>
      <c r="D68" s="501">
        <v>1.968</v>
      </c>
      <c r="E68" s="502">
        <v>0.52600000000000002</v>
      </c>
      <c r="F68" s="503">
        <v>0.155</v>
      </c>
      <c r="G68" s="508">
        <v>205.13</v>
      </c>
      <c r="H68" s="508">
        <v>2.02</v>
      </c>
      <c r="I68" s="400">
        <v>3.31</v>
      </c>
      <c r="J68" s="499">
        <v>8.5000000000000006E-2</v>
      </c>
    </row>
    <row r="69" spans="1:10" ht="35.049999999999997" hidden="1" customHeight="1" x14ac:dyDescent="0.3">
      <c r="A69" s="398" t="s">
        <v>831</v>
      </c>
      <c r="B69" s="17"/>
      <c r="C69" s="405">
        <v>0</v>
      </c>
      <c r="D69" s="501">
        <v>1.968</v>
      </c>
      <c r="E69" s="502">
        <v>0.52600000000000002</v>
      </c>
      <c r="F69" s="503">
        <v>0.155</v>
      </c>
      <c r="G69" s="508">
        <v>460.84</v>
      </c>
      <c r="H69" s="508">
        <v>2.02</v>
      </c>
      <c r="I69" s="400">
        <v>3.31</v>
      </c>
      <c r="J69" s="499">
        <v>8.5000000000000006E-2</v>
      </c>
    </row>
    <row r="70" spans="1:10" ht="35.049999999999997" hidden="1" customHeight="1" x14ac:dyDescent="0.3">
      <c r="A70" s="398" t="s">
        <v>832</v>
      </c>
      <c r="B70" s="17"/>
      <c r="C70" s="405">
        <v>0</v>
      </c>
      <c r="D70" s="501">
        <v>1.544</v>
      </c>
      <c r="E70" s="502">
        <v>0.34699999999999998</v>
      </c>
      <c r="F70" s="503">
        <v>0.11899999999999999</v>
      </c>
      <c r="G70" s="508">
        <v>38.130000000000003</v>
      </c>
      <c r="H70" s="508">
        <v>4.45</v>
      </c>
      <c r="I70" s="400">
        <v>5.84</v>
      </c>
      <c r="J70" s="499">
        <v>5.3999999999999999E-2</v>
      </c>
    </row>
    <row r="71" spans="1:10" ht="35.049999999999997" hidden="1" customHeight="1" x14ac:dyDescent="0.3">
      <c r="A71" s="398" t="s">
        <v>833</v>
      </c>
      <c r="B71" s="17"/>
      <c r="C71" s="405">
        <v>0</v>
      </c>
      <c r="D71" s="501">
        <v>1.544</v>
      </c>
      <c r="E71" s="502">
        <v>0.34699999999999998</v>
      </c>
      <c r="F71" s="503">
        <v>0.11899999999999999</v>
      </c>
      <c r="G71" s="508">
        <v>128.43</v>
      </c>
      <c r="H71" s="508">
        <v>4.45</v>
      </c>
      <c r="I71" s="400">
        <v>5.84</v>
      </c>
      <c r="J71" s="499">
        <v>5.3999999999999999E-2</v>
      </c>
    </row>
    <row r="72" spans="1:10" ht="35.049999999999997" hidden="1" customHeight="1" x14ac:dyDescent="0.3">
      <c r="A72" s="398" t="s">
        <v>834</v>
      </c>
      <c r="B72" s="17"/>
      <c r="C72" s="405">
        <v>0</v>
      </c>
      <c r="D72" s="501">
        <v>1.544</v>
      </c>
      <c r="E72" s="502">
        <v>0.34699999999999998</v>
      </c>
      <c r="F72" s="503">
        <v>0.11899999999999999</v>
      </c>
      <c r="G72" s="508">
        <v>202.24</v>
      </c>
      <c r="H72" s="508">
        <v>4.45</v>
      </c>
      <c r="I72" s="400">
        <v>5.84</v>
      </c>
      <c r="J72" s="499">
        <v>5.3999999999999999E-2</v>
      </c>
    </row>
    <row r="73" spans="1:10" ht="35.049999999999997" hidden="1" customHeight="1" x14ac:dyDescent="0.3">
      <c r="A73" s="398" t="s">
        <v>835</v>
      </c>
      <c r="B73" s="17"/>
      <c r="C73" s="405">
        <v>0</v>
      </c>
      <c r="D73" s="501">
        <v>1.544</v>
      </c>
      <c r="E73" s="502">
        <v>0.34699999999999998</v>
      </c>
      <c r="F73" s="503">
        <v>0.11899999999999999</v>
      </c>
      <c r="G73" s="508">
        <v>311.38</v>
      </c>
      <c r="H73" s="508">
        <v>4.45</v>
      </c>
      <c r="I73" s="400">
        <v>5.84</v>
      </c>
      <c r="J73" s="499">
        <v>5.3999999999999999E-2</v>
      </c>
    </row>
    <row r="74" spans="1:10" ht="35.049999999999997" hidden="1" customHeight="1" x14ac:dyDescent="0.3">
      <c r="A74" s="398" t="s">
        <v>836</v>
      </c>
      <c r="B74" s="17"/>
      <c r="C74" s="405">
        <v>0</v>
      </c>
      <c r="D74" s="501">
        <v>1.544</v>
      </c>
      <c r="E74" s="502">
        <v>0.34699999999999998</v>
      </c>
      <c r="F74" s="503">
        <v>0.11899999999999999</v>
      </c>
      <c r="G74" s="508">
        <v>669.94</v>
      </c>
      <c r="H74" s="508">
        <v>4.45</v>
      </c>
      <c r="I74" s="400">
        <v>5.84</v>
      </c>
      <c r="J74" s="499">
        <v>5.3999999999999999E-2</v>
      </c>
    </row>
    <row r="75" spans="1:10" ht="35.049999999999997" hidden="1" customHeight="1" x14ac:dyDescent="0.3">
      <c r="A75" s="398" t="s">
        <v>837</v>
      </c>
      <c r="B75" s="17"/>
      <c r="C75" s="405">
        <v>0</v>
      </c>
      <c r="D75" s="501">
        <v>0.871</v>
      </c>
      <c r="E75" s="502">
        <v>0.189</v>
      </c>
      <c r="F75" s="503">
        <v>8.5000000000000006E-2</v>
      </c>
      <c r="G75" s="508">
        <v>181.24</v>
      </c>
      <c r="H75" s="508">
        <v>6.39</v>
      </c>
      <c r="I75" s="400">
        <v>7.33</v>
      </c>
      <c r="J75" s="499">
        <v>3.5000000000000003E-2</v>
      </c>
    </row>
    <row r="76" spans="1:10" ht="35.049999999999997" hidden="1" customHeight="1" x14ac:dyDescent="0.3">
      <c r="A76" s="398" t="s">
        <v>838</v>
      </c>
      <c r="B76" s="17"/>
      <c r="C76" s="405">
        <v>0</v>
      </c>
      <c r="D76" s="501">
        <v>0.871</v>
      </c>
      <c r="E76" s="502">
        <v>0.189</v>
      </c>
      <c r="F76" s="503">
        <v>8.5000000000000006E-2</v>
      </c>
      <c r="G76" s="508">
        <v>393.09</v>
      </c>
      <c r="H76" s="508">
        <v>6.39</v>
      </c>
      <c r="I76" s="400">
        <v>7.33</v>
      </c>
      <c r="J76" s="499">
        <v>3.5000000000000003E-2</v>
      </c>
    </row>
    <row r="77" spans="1:10" ht="35.049999999999997" hidden="1" customHeight="1" x14ac:dyDescent="0.3">
      <c r="A77" s="398" t="s">
        <v>839</v>
      </c>
      <c r="B77" s="17"/>
      <c r="C77" s="405">
        <v>0</v>
      </c>
      <c r="D77" s="501">
        <v>0.871</v>
      </c>
      <c r="E77" s="502">
        <v>0.189</v>
      </c>
      <c r="F77" s="503">
        <v>8.5000000000000006E-2</v>
      </c>
      <c r="G77" s="508">
        <v>1522.01</v>
      </c>
      <c r="H77" s="508">
        <v>6.39</v>
      </c>
      <c r="I77" s="400">
        <v>7.33</v>
      </c>
      <c r="J77" s="499">
        <v>3.5000000000000003E-2</v>
      </c>
    </row>
    <row r="78" spans="1:10" ht="35.049999999999997" hidden="1" customHeight="1" x14ac:dyDescent="0.3">
      <c r="A78" s="398" t="s">
        <v>840</v>
      </c>
      <c r="B78" s="17"/>
      <c r="C78" s="405">
        <v>0</v>
      </c>
      <c r="D78" s="501">
        <v>0.871</v>
      </c>
      <c r="E78" s="502">
        <v>0.189</v>
      </c>
      <c r="F78" s="503">
        <v>8.5000000000000006E-2</v>
      </c>
      <c r="G78" s="508">
        <v>3392.16</v>
      </c>
      <c r="H78" s="508">
        <v>6.39</v>
      </c>
      <c r="I78" s="400">
        <v>7.33</v>
      </c>
      <c r="J78" s="499">
        <v>3.5000000000000003E-2</v>
      </c>
    </row>
    <row r="79" spans="1:10" ht="35.049999999999997" hidden="1" customHeight="1" x14ac:dyDescent="0.3">
      <c r="A79" s="398" t="s">
        <v>841</v>
      </c>
      <c r="B79" s="17"/>
      <c r="C79" s="405">
        <v>0</v>
      </c>
      <c r="D79" s="501">
        <v>0.871</v>
      </c>
      <c r="E79" s="502">
        <v>0.189</v>
      </c>
      <c r="F79" s="503">
        <v>8.5000000000000006E-2</v>
      </c>
      <c r="G79" s="508">
        <v>6813.77</v>
      </c>
      <c r="H79" s="508">
        <v>6.39</v>
      </c>
      <c r="I79" s="400">
        <v>7.33</v>
      </c>
      <c r="J79" s="499">
        <v>3.5000000000000003E-2</v>
      </c>
    </row>
    <row r="80" spans="1:10" ht="35.049999999999997" hidden="1" customHeight="1" x14ac:dyDescent="0.3">
      <c r="A80" s="398" t="s">
        <v>587</v>
      </c>
      <c r="B80" s="17"/>
      <c r="C80" s="405" t="s">
        <v>616</v>
      </c>
      <c r="D80" s="504">
        <v>4.5979999999999999</v>
      </c>
      <c r="E80" s="505">
        <v>1.5549999999999999</v>
      </c>
      <c r="F80" s="503">
        <v>1.27</v>
      </c>
      <c r="G80" s="509"/>
      <c r="H80" s="509"/>
      <c r="I80" s="399"/>
      <c r="J80" s="500"/>
    </row>
    <row r="81" spans="1:10" ht="35.049999999999997" hidden="1" customHeight="1" x14ac:dyDescent="0.3">
      <c r="A81" s="398" t="s">
        <v>691</v>
      </c>
      <c r="B81" s="17"/>
      <c r="C81" s="405">
        <v>0</v>
      </c>
      <c r="D81" s="501">
        <v>-2.6549999999999998</v>
      </c>
      <c r="E81" s="502">
        <v>-0.73699999999999999</v>
      </c>
      <c r="F81" s="503">
        <v>-0.21</v>
      </c>
      <c r="G81" s="508">
        <v>0</v>
      </c>
      <c r="H81" s="509"/>
      <c r="I81" s="399"/>
      <c r="J81" s="500"/>
    </row>
    <row r="82" spans="1:10" ht="35.049999999999997" hidden="1" customHeight="1" x14ac:dyDescent="0.3">
      <c r="A82" s="398" t="s">
        <v>692</v>
      </c>
      <c r="B82" s="17"/>
      <c r="C82" s="405">
        <v>0</v>
      </c>
      <c r="D82" s="501">
        <v>-2.57</v>
      </c>
      <c r="E82" s="502">
        <v>-0.70199999999999996</v>
      </c>
      <c r="F82" s="503">
        <v>-0.20300000000000001</v>
      </c>
      <c r="G82" s="508">
        <v>0</v>
      </c>
      <c r="H82" s="509"/>
      <c r="I82" s="399"/>
      <c r="J82" s="500"/>
    </row>
    <row r="83" spans="1:10" ht="35.049999999999997" hidden="1" customHeight="1" x14ac:dyDescent="0.3">
      <c r="A83" s="398" t="s">
        <v>693</v>
      </c>
      <c r="B83" s="17"/>
      <c r="C83" s="405">
        <v>0</v>
      </c>
      <c r="D83" s="501">
        <v>-2.6549999999999998</v>
      </c>
      <c r="E83" s="502">
        <v>-0.73699999999999999</v>
      </c>
      <c r="F83" s="503">
        <v>-0.21</v>
      </c>
      <c r="G83" s="508">
        <v>0</v>
      </c>
      <c r="H83" s="509"/>
      <c r="I83" s="399"/>
      <c r="J83" s="499">
        <v>0.124</v>
      </c>
    </row>
    <row r="84" spans="1:10" ht="35.049999999999997" hidden="1" customHeight="1" x14ac:dyDescent="0.3">
      <c r="A84" s="398" t="s">
        <v>694</v>
      </c>
      <c r="B84" s="17"/>
      <c r="C84" s="405">
        <v>0</v>
      </c>
      <c r="D84" s="501">
        <v>-2.57</v>
      </c>
      <c r="E84" s="502">
        <v>-0.70199999999999996</v>
      </c>
      <c r="F84" s="503">
        <v>-0.20300000000000001</v>
      </c>
      <c r="G84" s="508">
        <v>0</v>
      </c>
      <c r="H84" s="509"/>
      <c r="I84" s="399"/>
      <c r="J84" s="499">
        <v>0.111</v>
      </c>
    </row>
    <row r="85" spans="1:10" ht="35.049999999999997" hidden="1" customHeight="1" x14ac:dyDescent="0.3">
      <c r="A85" s="398" t="s">
        <v>695</v>
      </c>
      <c r="B85" s="17"/>
      <c r="C85" s="405">
        <v>0</v>
      </c>
      <c r="D85" s="501">
        <v>-2.8820000000000001</v>
      </c>
      <c r="E85" s="502">
        <v>-0.64700000000000002</v>
      </c>
      <c r="F85" s="503">
        <v>-0.223</v>
      </c>
      <c r="G85" s="508">
        <v>643.35</v>
      </c>
      <c r="H85" s="509"/>
      <c r="I85" s="399"/>
      <c r="J85" s="499">
        <v>0.216</v>
      </c>
    </row>
    <row r="86" spans="1:10" ht="35.049999999999997" customHeight="1" x14ac:dyDescent="0.3">
      <c r="A86" s="398" t="s">
        <v>842</v>
      </c>
      <c r="B86" s="17" t="s">
        <v>1258</v>
      </c>
      <c r="C86" s="405" t="s">
        <v>639</v>
      </c>
      <c r="D86" s="501">
        <v>1.4830000000000001</v>
      </c>
      <c r="E86" s="502">
        <v>0.41199999999999998</v>
      </c>
      <c r="F86" s="503">
        <v>0.11700000000000001</v>
      </c>
      <c r="G86" s="508">
        <v>3.91</v>
      </c>
      <c r="H86" s="509"/>
      <c r="I86" s="399"/>
      <c r="J86" s="500"/>
    </row>
    <row r="87" spans="1:10" ht="35.049999999999997" customHeight="1" x14ac:dyDescent="0.3">
      <c r="A87" s="398" t="s">
        <v>843</v>
      </c>
      <c r="B87" s="17" t="s">
        <v>1259</v>
      </c>
      <c r="C87" s="405">
        <v>2</v>
      </c>
      <c r="D87" s="501">
        <v>1.4830000000000001</v>
      </c>
      <c r="E87" s="502">
        <v>0.41199999999999998</v>
      </c>
      <c r="F87" s="503">
        <v>0.11700000000000001</v>
      </c>
      <c r="G87" s="509"/>
      <c r="H87" s="509"/>
      <c r="I87" s="399"/>
      <c r="J87" s="500"/>
    </row>
    <row r="88" spans="1:10" ht="35.049999999999997" customHeight="1" x14ac:dyDescent="0.3">
      <c r="A88" s="398" t="s">
        <v>844</v>
      </c>
      <c r="B88" s="17" t="s">
        <v>1260</v>
      </c>
      <c r="C88" s="405" t="s">
        <v>640</v>
      </c>
      <c r="D88" s="501">
        <v>1.8140000000000001</v>
      </c>
      <c r="E88" s="502">
        <v>0.504</v>
      </c>
      <c r="F88" s="503">
        <v>0.14299999999999999</v>
      </c>
      <c r="G88" s="508">
        <v>2.71</v>
      </c>
      <c r="H88" s="509"/>
      <c r="I88" s="399"/>
      <c r="J88" s="500"/>
    </row>
    <row r="89" spans="1:10" ht="35.049999999999997" customHeight="1" x14ac:dyDescent="0.3">
      <c r="A89" s="398" t="s">
        <v>845</v>
      </c>
      <c r="B89" s="17" t="s">
        <v>1261</v>
      </c>
      <c r="C89" s="405" t="s">
        <v>640</v>
      </c>
      <c r="D89" s="501">
        <v>1.8140000000000001</v>
      </c>
      <c r="E89" s="502">
        <v>0.504</v>
      </c>
      <c r="F89" s="503">
        <v>0.14299999999999999</v>
      </c>
      <c r="G89" s="508">
        <v>3.84</v>
      </c>
      <c r="H89" s="509"/>
      <c r="I89" s="399"/>
      <c r="J89" s="500"/>
    </row>
    <row r="90" spans="1:10" ht="35.049999999999997" customHeight="1" x14ac:dyDescent="0.3">
      <c r="A90" s="398" t="s">
        <v>846</v>
      </c>
      <c r="B90" s="17" t="s">
        <v>1262</v>
      </c>
      <c r="C90" s="405" t="s">
        <v>640</v>
      </c>
      <c r="D90" s="501">
        <v>1.8140000000000001</v>
      </c>
      <c r="E90" s="502">
        <v>0.504</v>
      </c>
      <c r="F90" s="503">
        <v>0.14299999999999999</v>
      </c>
      <c r="G90" s="508">
        <v>6.13</v>
      </c>
      <c r="H90" s="509"/>
      <c r="I90" s="399"/>
      <c r="J90" s="500"/>
    </row>
    <row r="91" spans="1:10" ht="35.049999999999997" customHeight="1" x14ac:dyDescent="0.3">
      <c r="A91" s="398" t="s">
        <v>847</v>
      </c>
      <c r="B91" s="17" t="s">
        <v>1263</v>
      </c>
      <c r="C91" s="405" t="s">
        <v>640</v>
      </c>
      <c r="D91" s="501">
        <v>1.8140000000000001</v>
      </c>
      <c r="E91" s="502">
        <v>0.504</v>
      </c>
      <c r="F91" s="503">
        <v>0.14299999999999999</v>
      </c>
      <c r="G91" s="508">
        <v>9.51</v>
      </c>
      <c r="H91" s="509"/>
      <c r="I91" s="399"/>
      <c r="J91" s="500"/>
    </row>
    <row r="92" spans="1:10" ht="35.049999999999997" customHeight="1" x14ac:dyDescent="0.3">
      <c r="A92" s="398" t="s">
        <v>848</v>
      </c>
      <c r="B92" s="17" t="s">
        <v>1264</v>
      </c>
      <c r="C92" s="405" t="s">
        <v>640</v>
      </c>
      <c r="D92" s="501">
        <v>1.8140000000000001</v>
      </c>
      <c r="E92" s="502">
        <v>0.504</v>
      </c>
      <c r="F92" s="503">
        <v>0.14299999999999999</v>
      </c>
      <c r="G92" s="508">
        <v>20.67</v>
      </c>
      <c r="H92" s="509"/>
      <c r="I92" s="399"/>
      <c r="J92" s="500"/>
    </row>
    <row r="93" spans="1:10" ht="35.049999999999997" customHeight="1" x14ac:dyDescent="0.3">
      <c r="A93" s="398" t="s">
        <v>588</v>
      </c>
      <c r="B93" s="17" t="s">
        <v>1265</v>
      </c>
      <c r="C93" s="405">
        <v>4</v>
      </c>
      <c r="D93" s="501">
        <v>1.8140000000000001</v>
      </c>
      <c r="E93" s="502">
        <v>0.504</v>
      </c>
      <c r="F93" s="503">
        <v>0.14299999999999999</v>
      </c>
      <c r="G93" s="509"/>
      <c r="H93" s="509"/>
      <c r="I93" s="399"/>
      <c r="J93" s="500"/>
    </row>
    <row r="94" spans="1:10" ht="35.049999999999997" customHeight="1" x14ac:dyDescent="0.3">
      <c r="A94" s="398" t="s">
        <v>849</v>
      </c>
      <c r="B94" s="17" t="s">
        <v>1266</v>
      </c>
      <c r="C94" s="405">
        <v>0</v>
      </c>
      <c r="D94" s="501">
        <v>1.2190000000000001</v>
      </c>
      <c r="E94" s="502">
        <v>0.32600000000000001</v>
      </c>
      <c r="F94" s="503">
        <v>9.6000000000000002E-2</v>
      </c>
      <c r="G94" s="508">
        <v>6.45</v>
      </c>
      <c r="H94" s="508">
        <v>1.25</v>
      </c>
      <c r="I94" s="400">
        <v>2.0499999999999998</v>
      </c>
      <c r="J94" s="499">
        <v>5.2999999999999999E-2</v>
      </c>
    </row>
    <row r="95" spans="1:10" ht="35.049999999999997" customHeight="1" x14ac:dyDescent="0.3">
      <c r="A95" s="398" t="s">
        <v>850</v>
      </c>
      <c r="B95" s="17" t="s">
        <v>1267</v>
      </c>
      <c r="C95" s="405">
        <v>0</v>
      </c>
      <c r="D95" s="501">
        <v>1.2190000000000001</v>
      </c>
      <c r="E95" s="502">
        <v>0.32600000000000001</v>
      </c>
      <c r="F95" s="503">
        <v>9.6000000000000002E-2</v>
      </c>
      <c r="G95" s="508">
        <v>46.33</v>
      </c>
      <c r="H95" s="508">
        <v>1.25</v>
      </c>
      <c r="I95" s="400">
        <v>2.0499999999999998</v>
      </c>
      <c r="J95" s="499">
        <v>5.2999999999999999E-2</v>
      </c>
    </row>
    <row r="96" spans="1:10" ht="35.049999999999997" customHeight="1" x14ac:dyDescent="0.3">
      <c r="A96" s="398" t="s">
        <v>851</v>
      </c>
      <c r="B96" s="17" t="s">
        <v>1268</v>
      </c>
      <c r="C96" s="405">
        <v>0</v>
      </c>
      <c r="D96" s="501">
        <v>1.2190000000000001</v>
      </c>
      <c r="E96" s="502">
        <v>0.32600000000000001</v>
      </c>
      <c r="F96" s="503">
        <v>9.6000000000000002E-2</v>
      </c>
      <c r="G96" s="508">
        <v>78.930000000000007</v>
      </c>
      <c r="H96" s="508">
        <v>1.25</v>
      </c>
      <c r="I96" s="400">
        <v>2.0499999999999998</v>
      </c>
      <c r="J96" s="499">
        <v>5.2999999999999999E-2</v>
      </c>
    </row>
    <row r="97" spans="1:10" ht="35.049999999999997" customHeight="1" x14ac:dyDescent="0.3">
      <c r="A97" s="398" t="s">
        <v>852</v>
      </c>
      <c r="B97" s="17" t="s">
        <v>1269</v>
      </c>
      <c r="C97" s="405">
        <v>0</v>
      </c>
      <c r="D97" s="501">
        <v>1.2190000000000001</v>
      </c>
      <c r="E97" s="502">
        <v>0.32600000000000001</v>
      </c>
      <c r="F97" s="503">
        <v>9.6000000000000002E-2</v>
      </c>
      <c r="G97" s="508">
        <v>127.13</v>
      </c>
      <c r="H97" s="508">
        <v>1.25</v>
      </c>
      <c r="I97" s="400">
        <v>2.0499999999999998</v>
      </c>
      <c r="J97" s="499">
        <v>5.2999999999999999E-2</v>
      </c>
    </row>
    <row r="98" spans="1:10" ht="35.049999999999997" customHeight="1" x14ac:dyDescent="0.3">
      <c r="A98" s="398" t="s">
        <v>853</v>
      </c>
      <c r="B98" s="17" t="s">
        <v>1270</v>
      </c>
      <c r="C98" s="405">
        <v>0</v>
      </c>
      <c r="D98" s="501">
        <v>1.2190000000000001</v>
      </c>
      <c r="E98" s="502">
        <v>0.32600000000000001</v>
      </c>
      <c r="F98" s="503">
        <v>9.6000000000000002E-2</v>
      </c>
      <c r="G98" s="508">
        <v>285.5</v>
      </c>
      <c r="H98" s="508">
        <v>1.25</v>
      </c>
      <c r="I98" s="400">
        <v>2.0499999999999998</v>
      </c>
      <c r="J98" s="499">
        <v>5.2999999999999999E-2</v>
      </c>
    </row>
    <row r="99" spans="1:10" ht="35.049999999999997" customHeight="1" x14ac:dyDescent="0.3">
      <c r="A99" s="398" t="s">
        <v>854</v>
      </c>
      <c r="B99" s="392"/>
      <c r="C99" s="405">
        <v>0</v>
      </c>
      <c r="D99" s="501">
        <v>0.95599999999999996</v>
      </c>
      <c r="E99" s="502">
        <v>0.215</v>
      </c>
      <c r="F99" s="503">
        <v>7.3999999999999996E-2</v>
      </c>
      <c r="G99" s="508">
        <v>23.72</v>
      </c>
      <c r="H99" s="508">
        <v>2.75</v>
      </c>
      <c r="I99" s="400">
        <v>3.62</v>
      </c>
      <c r="J99" s="499">
        <v>3.3000000000000002E-2</v>
      </c>
    </row>
    <row r="100" spans="1:10" ht="35.049999999999997" customHeight="1" x14ac:dyDescent="0.3">
      <c r="A100" s="398" t="s">
        <v>855</v>
      </c>
      <c r="B100" s="392"/>
      <c r="C100" s="405">
        <v>0</v>
      </c>
      <c r="D100" s="501">
        <v>0.95599999999999996</v>
      </c>
      <c r="E100" s="502">
        <v>0.215</v>
      </c>
      <c r="F100" s="503">
        <v>7.3999999999999996E-2</v>
      </c>
      <c r="G100" s="508">
        <v>79.64</v>
      </c>
      <c r="H100" s="508">
        <v>2.75</v>
      </c>
      <c r="I100" s="400">
        <v>3.62</v>
      </c>
      <c r="J100" s="499">
        <v>3.3000000000000002E-2</v>
      </c>
    </row>
    <row r="101" spans="1:10" ht="35.049999999999997" customHeight="1" x14ac:dyDescent="0.3">
      <c r="A101" s="398" t="s">
        <v>856</v>
      </c>
      <c r="B101" s="392"/>
      <c r="C101" s="405">
        <v>0</v>
      </c>
      <c r="D101" s="501">
        <v>0.95599999999999996</v>
      </c>
      <c r="E101" s="502">
        <v>0.215</v>
      </c>
      <c r="F101" s="503">
        <v>7.3999999999999996E-2</v>
      </c>
      <c r="G101" s="508">
        <v>125.34</v>
      </c>
      <c r="H101" s="508">
        <v>2.75</v>
      </c>
      <c r="I101" s="400">
        <v>3.62</v>
      </c>
      <c r="J101" s="499">
        <v>3.3000000000000002E-2</v>
      </c>
    </row>
    <row r="102" spans="1:10" ht="35.049999999999997" customHeight="1" x14ac:dyDescent="0.3">
      <c r="A102" s="398" t="s">
        <v>857</v>
      </c>
      <c r="B102" s="392"/>
      <c r="C102" s="405">
        <v>0</v>
      </c>
      <c r="D102" s="501">
        <v>0.95599999999999996</v>
      </c>
      <c r="E102" s="502">
        <v>0.215</v>
      </c>
      <c r="F102" s="503">
        <v>7.3999999999999996E-2</v>
      </c>
      <c r="G102" s="508">
        <v>192.94</v>
      </c>
      <c r="H102" s="508">
        <v>2.75</v>
      </c>
      <c r="I102" s="400">
        <v>3.62</v>
      </c>
      <c r="J102" s="499">
        <v>3.3000000000000002E-2</v>
      </c>
    </row>
    <row r="103" spans="1:10" ht="35.049999999999997" customHeight="1" x14ac:dyDescent="0.3">
      <c r="A103" s="398" t="s">
        <v>858</v>
      </c>
      <c r="B103" s="392"/>
      <c r="C103" s="405">
        <v>0</v>
      </c>
      <c r="D103" s="501">
        <v>0.95599999999999996</v>
      </c>
      <c r="E103" s="502">
        <v>0.215</v>
      </c>
      <c r="F103" s="503">
        <v>7.3999999999999996E-2</v>
      </c>
      <c r="G103" s="508">
        <v>415</v>
      </c>
      <c r="H103" s="508">
        <v>2.75</v>
      </c>
      <c r="I103" s="400">
        <v>3.62</v>
      </c>
      <c r="J103" s="499">
        <v>3.3000000000000002E-2</v>
      </c>
    </row>
    <row r="104" spans="1:10" ht="35.049999999999997" customHeight="1" x14ac:dyDescent="0.3">
      <c r="A104" s="398" t="s">
        <v>859</v>
      </c>
      <c r="B104" s="17" t="s">
        <v>1271</v>
      </c>
      <c r="C104" s="405">
        <v>0</v>
      </c>
      <c r="D104" s="501">
        <v>0.53900000000000003</v>
      </c>
      <c r="E104" s="502">
        <v>0.11700000000000001</v>
      </c>
      <c r="F104" s="503">
        <v>5.1999999999999998E-2</v>
      </c>
      <c r="G104" s="508">
        <v>112.34</v>
      </c>
      <c r="H104" s="508">
        <v>3.96</v>
      </c>
      <c r="I104" s="400">
        <v>4.54</v>
      </c>
      <c r="J104" s="499">
        <v>2.1999999999999999E-2</v>
      </c>
    </row>
    <row r="105" spans="1:10" ht="35.049999999999997" customHeight="1" x14ac:dyDescent="0.3">
      <c r="A105" s="398" t="s">
        <v>860</v>
      </c>
      <c r="B105" s="17" t="s">
        <v>1249</v>
      </c>
      <c r="C105" s="405">
        <v>0</v>
      </c>
      <c r="D105" s="501">
        <v>0.53900000000000003</v>
      </c>
      <c r="E105" s="502">
        <v>0.11700000000000001</v>
      </c>
      <c r="F105" s="503">
        <v>5.1999999999999998E-2</v>
      </c>
      <c r="G105" s="508">
        <v>243.54</v>
      </c>
      <c r="H105" s="508">
        <v>3.96</v>
      </c>
      <c r="I105" s="400">
        <v>4.54</v>
      </c>
      <c r="J105" s="499">
        <v>2.1999999999999999E-2</v>
      </c>
    </row>
    <row r="106" spans="1:10" ht="35.049999999999997" customHeight="1" x14ac:dyDescent="0.3">
      <c r="A106" s="398" t="s">
        <v>861</v>
      </c>
      <c r="B106" s="17" t="s">
        <v>1250</v>
      </c>
      <c r="C106" s="405">
        <v>0</v>
      </c>
      <c r="D106" s="501">
        <v>0.53900000000000003</v>
      </c>
      <c r="E106" s="502">
        <v>0.11700000000000001</v>
      </c>
      <c r="F106" s="503">
        <v>5.1999999999999998E-2</v>
      </c>
      <c r="G106" s="508">
        <v>942.68</v>
      </c>
      <c r="H106" s="508">
        <v>3.96</v>
      </c>
      <c r="I106" s="400">
        <v>4.54</v>
      </c>
      <c r="J106" s="499">
        <v>2.1999999999999999E-2</v>
      </c>
    </row>
    <row r="107" spans="1:10" ht="35.049999999999997" customHeight="1" x14ac:dyDescent="0.3">
      <c r="A107" s="398" t="s">
        <v>862</v>
      </c>
      <c r="B107" s="17" t="s">
        <v>1251</v>
      </c>
      <c r="C107" s="405">
        <v>0</v>
      </c>
      <c r="D107" s="501">
        <v>0.53900000000000003</v>
      </c>
      <c r="E107" s="502">
        <v>0.11700000000000001</v>
      </c>
      <c r="F107" s="503">
        <v>5.1999999999999998E-2</v>
      </c>
      <c r="G107" s="508">
        <v>2100.86</v>
      </c>
      <c r="H107" s="508">
        <v>3.96</v>
      </c>
      <c r="I107" s="400">
        <v>4.54</v>
      </c>
      <c r="J107" s="499">
        <v>2.1999999999999999E-2</v>
      </c>
    </row>
    <row r="108" spans="1:10" ht="35.049999999999997" customHeight="1" x14ac:dyDescent="0.3">
      <c r="A108" s="398" t="s">
        <v>863</v>
      </c>
      <c r="B108" s="17" t="s">
        <v>1252</v>
      </c>
      <c r="C108" s="405">
        <v>0</v>
      </c>
      <c r="D108" s="501">
        <v>0.53900000000000003</v>
      </c>
      <c r="E108" s="502">
        <v>0.11700000000000001</v>
      </c>
      <c r="F108" s="503">
        <v>5.1999999999999998E-2</v>
      </c>
      <c r="G108" s="508">
        <v>4219.8599999999997</v>
      </c>
      <c r="H108" s="508">
        <v>3.96</v>
      </c>
      <c r="I108" s="400">
        <v>4.54</v>
      </c>
      <c r="J108" s="499">
        <v>2.1999999999999999E-2</v>
      </c>
    </row>
    <row r="109" spans="1:10" ht="35.049999999999997" customHeight="1" x14ac:dyDescent="0.3">
      <c r="A109" s="398" t="s">
        <v>589</v>
      </c>
      <c r="B109" s="17" t="s">
        <v>1272</v>
      </c>
      <c r="C109" s="405" t="s">
        <v>616</v>
      </c>
      <c r="D109" s="504">
        <v>2.8479999999999999</v>
      </c>
      <c r="E109" s="505">
        <v>0.96299999999999997</v>
      </c>
      <c r="F109" s="503">
        <v>0.78700000000000003</v>
      </c>
      <c r="G109" s="509"/>
      <c r="H109" s="509"/>
      <c r="I109" s="399"/>
      <c r="J109" s="500"/>
    </row>
    <row r="110" spans="1:10" ht="35.049999999999997" customHeight="1" x14ac:dyDescent="0.3">
      <c r="A110" s="398" t="s">
        <v>696</v>
      </c>
      <c r="B110" s="17" t="s">
        <v>1273</v>
      </c>
      <c r="C110" s="405">
        <v>0</v>
      </c>
      <c r="D110" s="501">
        <v>-1.6439999999999999</v>
      </c>
      <c r="E110" s="502">
        <v>-0.45700000000000002</v>
      </c>
      <c r="F110" s="503">
        <v>-0.13</v>
      </c>
      <c r="G110" s="508">
        <v>0</v>
      </c>
      <c r="H110" s="509"/>
      <c r="I110" s="399"/>
      <c r="J110" s="500"/>
    </row>
    <row r="111" spans="1:10" ht="35.049999999999997" customHeight="1" x14ac:dyDescent="0.3">
      <c r="A111" s="398" t="s">
        <v>697</v>
      </c>
      <c r="B111" s="392"/>
      <c r="C111" s="405">
        <v>0</v>
      </c>
      <c r="D111" s="501">
        <v>-1.5920000000000001</v>
      </c>
      <c r="E111" s="502">
        <v>-0.435</v>
      </c>
      <c r="F111" s="503">
        <v>-0.125</v>
      </c>
      <c r="G111" s="508">
        <v>0</v>
      </c>
      <c r="H111" s="509"/>
      <c r="I111" s="399"/>
      <c r="J111" s="500"/>
    </row>
    <row r="112" spans="1:10" ht="35.049999999999997" customHeight="1" x14ac:dyDescent="0.3">
      <c r="A112" s="398" t="s">
        <v>698</v>
      </c>
      <c r="B112" s="17" t="s">
        <v>1274</v>
      </c>
      <c r="C112" s="405">
        <v>0</v>
      </c>
      <c r="D112" s="501">
        <v>-1.6439999999999999</v>
      </c>
      <c r="E112" s="502">
        <v>-0.45700000000000002</v>
      </c>
      <c r="F112" s="503">
        <v>-0.13</v>
      </c>
      <c r="G112" s="508">
        <v>0</v>
      </c>
      <c r="H112" s="509"/>
      <c r="I112" s="399"/>
      <c r="J112" s="499">
        <v>7.6999999999999999E-2</v>
      </c>
    </row>
    <row r="113" spans="1:10" ht="35.049999999999997" customHeight="1" x14ac:dyDescent="0.3">
      <c r="A113" s="398" t="s">
        <v>699</v>
      </c>
      <c r="B113" s="392"/>
      <c r="C113" s="405">
        <v>0</v>
      </c>
      <c r="D113" s="501">
        <v>-1.5920000000000001</v>
      </c>
      <c r="E113" s="502">
        <v>-0.435</v>
      </c>
      <c r="F113" s="503">
        <v>-0.125</v>
      </c>
      <c r="G113" s="508">
        <v>0</v>
      </c>
      <c r="H113" s="509"/>
      <c r="I113" s="399"/>
      <c r="J113" s="499">
        <v>6.9000000000000006E-2</v>
      </c>
    </row>
    <row r="114" spans="1:10" ht="35.049999999999997" customHeight="1" x14ac:dyDescent="0.3">
      <c r="A114" s="398" t="s">
        <v>700</v>
      </c>
      <c r="B114" s="17" t="s">
        <v>1256</v>
      </c>
      <c r="C114" s="405">
        <v>0</v>
      </c>
      <c r="D114" s="501">
        <v>-1.7849999999999999</v>
      </c>
      <c r="E114" s="502">
        <v>-0.40100000000000002</v>
      </c>
      <c r="F114" s="503">
        <v>-0.13800000000000001</v>
      </c>
      <c r="G114" s="508">
        <v>398.43</v>
      </c>
      <c r="H114" s="509"/>
      <c r="I114" s="399"/>
      <c r="J114" s="499">
        <v>0.13400000000000001</v>
      </c>
    </row>
    <row r="115" spans="1:10" ht="35.049999999999997" customHeight="1" x14ac:dyDescent="0.3">
      <c r="A115" s="398" t="s">
        <v>864</v>
      </c>
      <c r="B115" s="392"/>
      <c r="C115" s="405" t="s">
        <v>639</v>
      </c>
      <c r="D115" s="501">
        <v>0.56100000000000005</v>
      </c>
      <c r="E115" s="502">
        <v>0.156</v>
      </c>
      <c r="F115" s="503">
        <v>4.3999999999999997E-2</v>
      </c>
      <c r="G115" s="508">
        <v>1.71</v>
      </c>
      <c r="H115" s="509"/>
      <c r="I115" s="399"/>
      <c r="J115" s="500"/>
    </row>
    <row r="116" spans="1:10" ht="35.049999999999997" customHeight="1" x14ac:dyDescent="0.3">
      <c r="A116" s="398" t="s">
        <v>865</v>
      </c>
      <c r="B116" s="392"/>
      <c r="C116" s="405">
        <v>2</v>
      </c>
      <c r="D116" s="501">
        <v>0.56100000000000005</v>
      </c>
      <c r="E116" s="502">
        <v>0.156</v>
      </c>
      <c r="F116" s="503">
        <v>4.3999999999999997E-2</v>
      </c>
      <c r="G116" s="509"/>
      <c r="H116" s="509"/>
      <c r="I116" s="399"/>
      <c r="J116" s="500"/>
    </row>
    <row r="117" spans="1:10" ht="35.049999999999997" customHeight="1" x14ac:dyDescent="0.3">
      <c r="A117" s="398" t="s">
        <v>866</v>
      </c>
      <c r="B117" s="392"/>
      <c r="C117" s="405" t="s">
        <v>640</v>
      </c>
      <c r="D117" s="501">
        <v>0.68600000000000005</v>
      </c>
      <c r="E117" s="502">
        <v>0.191</v>
      </c>
      <c r="F117" s="503">
        <v>5.3999999999999999E-2</v>
      </c>
      <c r="G117" s="508">
        <v>1.19</v>
      </c>
      <c r="H117" s="509"/>
      <c r="I117" s="399"/>
      <c r="J117" s="500"/>
    </row>
    <row r="118" spans="1:10" ht="35.049999999999997" customHeight="1" x14ac:dyDescent="0.3">
      <c r="A118" s="398" t="s">
        <v>867</v>
      </c>
      <c r="B118" s="392"/>
      <c r="C118" s="405" t="s">
        <v>640</v>
      </c>
      <c r="D118" s="501">
        <v>0.68600000000000005</v>
      </c>
      <c r="E118" s="502">
        <v>0.191</v>
      </c>
      <c r="F118" s="503">
        <v>5.3999999999999999E-2</v>
      </c>
      <c r="G118" s="508">
        <v>1.61</v>
      </c>
      <c r="H118" s="509"/>
      <c r="I118" s="399"/>
      <c r="J118" s="500"/>
    </row>
    <row r="119" spans="1:10" ht="35.049999999999997" customHeight="1" x14ac:dyDescent="0.3">
      <c r="A119" s="398" t="s">
        <v>868</v>
      </c>
      <c r="B119" s="392"/>
      <c r="C119" s="405" t="s">
        <v>640</v>
      </c>
      <c r="D119" s="501">
        <v>0.68600000000000005</v>
      </c>
      <c r="E119" s="502">
        <v>0.191</v>
      </c>
      <c r="F119" s="503">
        <v>5.3999999999999999E-2</v>
      </c>
      <c r="G119" s="508">
        <v>2.48</v>
      </c>
      <c r="H119" s="509"/>
      <c r="I119" s="399"/>
      <c r="J119" s="500"/>
    </row>
    <row r="120" spans="1:10" ht="35.049999999999997" customHeight="1" x14ac:dyDescent="0.3">
      <c r="A120" s="398" t="s">
        <v>869</v>
      </c>
      <c r="B120" s="392"/>
      <c r="C120" s="405" t="s">
        <v>640</v>
      </c>
      <c r="D120" s="501">
        <v>0.68600000000000005</v>
      </c>
      <c r="E120" s="502">
        <v>0.191</v>
      </c>
      <c r="F120" s="503">
        <v>5.3999999999999999E-2</v>
      </c>
      <c r="G120" s="508">
        <v>3.76</v>
      </c>
      <c r="H120" s="509"/>
      <c r="I120" s="399"/>
      <c r="J120" s="500"/>
    </row>
    <row r="121" spans="1:10" ht="35.049999999999997" customHeight="1" x14ac:dyDescent="0.3">
      <c r="A121" s="398" t="s">
        <v>870</v>
      </c>
      <c r="B121" s="392"/>
      <c r="C121" s="405" t="s">
        <v>640</v>
      </c>
      <c r="D121" s="501">
        <v>0.68600000000000005</v>
      </c>
      <c r="E121" s="502">
        <v>0.191</v>
      </c>
      <c r="F121" s="503">
        <v>5.3999999999999999E-2</v>
      </c>
      <c r="G121" s="508">
        <v>7.98</v>
      </c>
      <c r="H121" s="509"/>
      <c r="I121" s="399"/>
      <c r="J121" s="500"/>
    </row>
    <row r="122" spans="1:10" ht="35.049999999999997" customHeight="1" x14ac:dyDescent="0.3">
      <c r="A122" s="398" t="s">
        <v>590</v>
      </c>
      <c r="B122" s="392"/>
      <c r="C122" s="405">
        <v>4</v>
      </c>
      <c r="D122" s="501">
        <v>0.68600000000000005</v>
      </c>
      <c r="E122" s="502">
        <v>0.191</v>
      </c>
      <c r="F122" s="503">
        <v>5.3999999999999999E-2</v>
      </c>
      <c r="G122" s="509"/>
      <c r="H122" s="509"/>
      <c r="I122" s="399"/>
      <c r="J122" s="500"/>
    </row>
    <row r="123" spans="1:10" ht="35.049999999999997" customHeight="1" x14ac:dyDescent="0.3">
      <c r="A123" s="398" t="s">
        <v>871</v>
      </c>
      <c r="B123" s="392"/>
      <c r="C123" s="405">
        <v>0</v>
      </c>
      <c r="D123" s="501">
        <v>0.46100000000000002</v>
      </c>
      <c r="E123" s="502">
        <v>0.123</v>
      </c>
      <c r="F123" s="503">
        <v>3.5999999999999997E-2</v>
      </c>
      <c r="G123" s="508">
        <v>2.6</v>
      </c>
      <c r="H123" s="508">
        <v>0.47</v>
      </c>
      <c r="I123" s="400">
        <v>0.77</v>
      </c>
      <c r="J123" s="499">
        <v>0.02</v>
      </c>
    </row>
    <row r="124" spans="1:10" ht="35.049999999999997" customHeight="1" x14ac:dyDescent="0.3">
      <c r="A124" s="398" t="s">
        <v>872</v>
      </c>
      <c r="B124" s="392"/>
      <c r="C124" s="405">
        <v>0</v>
      </c>
      <c r="D124" s="501">
        <v>0.46100000000000002</v>
      </c>
      <c r="E124" s="502">
        <v>0.123</v>
      </c>
      <c r="F124" s="503">
        <v>3.5999999999999997E-2</v>
      </c>
      <c r="G124" s="508">
        <v>17.7</v>
      </c>
      <c r="H124" s="508">
        <v>0.47</v>
      </c>
      <c r="I124" s="400">
        <v>0.77</v>
      </c>
      <c r="J124" s="499">
        <v>0.02</v>
      </c>
    </row>
    <row r="125" spans="1:10" ht="35.049999999999997" customHeight="1" x14ac:dyDescent="0.3">
      <c r="A125" s="398" t="s">
        <v>873</v>
      </c>
      <c r="B125" s="392"/>
      <c r="C125" s="405">
        <v>0</v>
      </c>
      <c r="D125" s="501">
        <v>0.46100000000000002</v>
      </c>
      <c r="E125" s="502">
        <v>0.123</v>
      </c>
      <c r="F125" s="503">
        <v>3.5999999999999997E-2</v>
      </c>
      <c r="G125" s="508">
        <v>30.03</v>
      </c>
      <c r="H125" s="508">
        <v>0.47</v>
      </c>
      <c r="I125" s="400">
        <v>0.77</v>
      </c>
      <c r="J125" s="499">
        <v>0.02</v>
      </c>
    </row>
    <row r="126" spans="1:10" ht="35.049999999999997" customHeight="1" x14ac:dyDescent="0.3">
      <c r="A126" s="398" t="s">
        <v>874</v>
      </c>
      <c r="B126" s="392"/>
      <c r="C126" s="405">
        <v>0</v>
      </c>
      <c r="D126" s="501">
        <v>0.46100000000000002</v>
      </c>
      <c r="E126" s="502">
        <v>0.123</v>
      </c>
      <c r="F126" s="503">
        <v>3.5999999999999997E-2</v>
      </c>
      <c r="G126" s="508">
        <v>48.27</v>
      </c>
      <c r="H126" s="508">
        <v>0.47</v>
      </c>
      <c r="I126" s="400">
        <v>0.77</v>
      </c>
      <c r="J126" s="499">
        <v>0.02</v>
      </c>
    </row>
    <row r="127" spans="1:10" ht="35.049999999999997" customHeight="1" x14ac:dyDescent="0.3">
      <c r="A127" s="398" t="s">
        <v>875</v>
      </c>
      <c r="B127" s="392"/>
      <c r="C127" s="405">
        <v>0</v>
      </c>
      <c r="D127" s="501">
        <v>0.46100000000000002</v>
      </c>
      <c r="E127" s="502">
        <v>0.123</v>
      </c>
      <c r="F127" s="503">
        <v>3.5999999999999997E-2</v>
      </c>
      <c r="G127" s="508">
        <v>108.2</v>
      </c>
      <c r="H127" s="508">
        <v>0.47</v>
      </c>
      <c r="I127" s="400">
        <v>0.77</v>
      </c>
      <c r="J127" s="499">
        <v>0.02</v>
      </c>
    </row>
    <row r="128" spans="1:10" ht="35.049999999999997" customHeight="1" x14ac:dyDescent="0.3">
      <c r="A128" s="398" t="s">
        <v>876</v>
      </c>
      <c r="B128" s="392"/>
      <c r="C128" s="405">
        <v>0</v>
      </c>
      <c r="D128" s="501">
        <v>0.36199999999999999</v>
      </c>
      <c r="E128" s="502">
        <v>8.1000000000000003E-2</v>
      </c>
      <c r="F128" s="503">
        <v>2.8000000000000001E-2</v>
      </c>
      <c r="G128" s="508">
        <v>9.14</v>
      </c>
      <c r="H128" s="508">
        <v>1.04</v>
      </c>
      <c r="I128" s="400">
        <v>1.37</v>
      </c>
      <c r="J128" s="499">
        <v>1.2999999999999999E-2</v>
      </c>
    </row>
    <row r="129" spans="1:10" ht="35.049999999999997" customHeight="1" x14ac:dyDescent="0.3">
      <c r="A129" s="398" t="s">
        <v>877</v>
      </c>
      <c r="B129" s="392"/>
      <c r="C129" s="405">
        <v>0</v>
      </c>
      <c r="D129" s="501">
        <v>0.36199999999999999</v>
      </c>
      <c r="E129" s="502">
        <v>8.1000000000000003E-2</v>
      </c>
      <c r="F129" s="503">
        <v>2.8000000000000001E-2</v>
      </c>
      <c r="G129" s="508">
        <v>30.3</v>
      </c>
      <c r="H129" s="508">
        <v>1.04</v>
      </c>
      <c r="I129" s="400">
        <v>1.37</v>
      </c>
      <c r="J129" s="499">
        <v>1.2999999999999999E-2</v>
      </c>
    </row>
    <row r="130" spans="1:10" ht="35.049999999999997" customHeight="1" x14ac:dyDescent="0.3">
      <c r="A130" s="398" t="s">
        <v>878</v>
      </c>
      <c r="B130" s="392"/>
      <c r="C130" s="405">
        <v>0</v>
      </c>
      <c r="D130" s="501">
        <v>0.36199999999999999</v>
      </c>
      <c r="E130" s="502">
        <v>8.1000000000000003E-2</v>
      </c>
      <c r="F130" s="503">
        <v>2.8000000000000001E-2</v>
      </c>
      <c r="G130" s="508">
        <v>47.59</v>
      </c>
      <c r="H130" s="508">
        <v>1.04</v>
      </c>
      <c r="I130" s="400">
        <v>1.37</v>
      </c>
      <c r="J130" s="499">
        <v>1.2999999999999999E-2</v>
      </c>
    </row>
    <row r="131" spans="1:10" ht="35.049999999999997" customHeight="1" x14ac:dyDescent="0.3">
      <c r="A131" s="398" t="s">
        <v>879</v>
      </c>
      <c r="B131" s="392"/>
      <c r="C131" s="405">
        <v>0</v>
      </c>
      <c r="D131" s="501">
        <v>0.36199999999999999</v>
      </c>
      <c r="E131" s="502">
        <v>8.1000000000000003E-2</v>
      </c>
      <c r="F131" s="503">
        <v>2.8000000000000001E-2</v>
      </c>
      <c r="G131" s="508">
        <v>73.17</v>
      </c>
      <c r="H131" s="508">
        <v>1.04</v>
      </c>
      <c r="I131" s="400">
        <v>1.37</v>
      </c>
      <c r="J131" s="499">
        <v>1.2999999999999999E-2</v>
      </c>
    </row>
    <row r="132" spans="1:10" ht="35.049999999999997" customHeight="1" x14ac:dyDescent="0.3">
      <c r="A132" s="398" t="s">
        <v>880</v>
      </c>
      <c r="B132" s="392"/>
      <c r="C132" s="405">
        <v>0</v>
      </c>
      <c r="D132" s="501">
        <v>0.36199999999999999</v>
      </c>
      <c r="E132" s="502">
        <v>8.1000000000000003E-2</v>
      </c>
      <c r="F132" s="503">
        <v>2.8000000000000001E-2</v>
      </c>
      <c r="G132" s="508">
        <v>157.19999999999999</v>
      </c>
      <c r="H132" s="508">
        <v>1.04</v>
      </c>
      <c r="I132" s="400">
        <v>1.37</v>
      </c>
      <c r="J132" s="499">
        <v>1.2999999999999999E-2</v>
      </c>
    </row>
    <row r="133" spans="1:10" ht="35.049999999999997" customHeight="1" x14ac:dyDescent="0.3">
      <c r="A133" s="398" t="s">
        <v>881</v>
      </c>
      <c r="B133" s="392"/>
      <c r="C133" s="405">
        <v>0</v>
      </c>
      <c r="D133" s="501">
        <v>0.20399999999999999</v>
      </c>
      <c r="E133" s="502">
        <v>4.3999999999999997E-2</v>
      </c>
      <c r="F133" s="503">
        <v>0.02</v>
      </c>
      <c r="G133" s="508">
        <v>42.67</v>
      </c>
      <c r="H133" s="508">
        <v>1.5</v>
      </c>
      <c r="I133" s="400">
        <v>1.72</v>
      </c>
      <c r="J133" s="499">
        <v>8.0000000000000002E-3</v>
      </c>
    </row>
    <row r="134" spans="1:10" ht="35.049999999999997" customHeight="1" x14ac:dyDescent="0.3">
      <c r="A134" s="398" t="s">
        <v>882</v>
      </c>
      <c r="B134" s="392"/>
      <c r="C134" s="405">
        <v>0</v>
      </c>
      <c r="D134" s="501">
        <v>0.20399999999999999</v>
      </c>
      <c r="E134" s="502">
        <v>4.3999999999999997E-2</v>
      </c>
      <c r="F134" s="503">
        <v>0.02</v>
      </c>
      <c r="G134" s="508">
        <v>92.32</v>
      </c>
      <c r="H134" s="508">
        <v>1.5</v>
      </c>
      <c r="I134" s="400">
        <v>1.72</v>
      </c>
      <c r="J134" s="499">
        <v>8.0000000000000002E-3</v>
      </c>
    </row>
    <row r="135" spans="1:10" ht="35.049999999999997" customHeight="1" x14ac:dyDescent="0.3">
      <c r="A135" s="398" t="s">
        <v>883</v>
      </c>
      <c r="B135" s="392"/>
      <c r="C135" s="405">
        <v>0</v>
      </c>
      <c r="D135" s="501">
        <v>0.20399999999999999</v>
      </c>
      <c r="E135" s="502">
        <v>4.3999999999999997E-2</v>
      </c>
      <c r="F135" s="503">
        <v>0.02</v>
      </c>
      <c r="G135" s="508">
        <v>356.87</v>
      </c>
      <c r="H135" s="508">
        <v>1.5</v>
      </c>
      <c r="I135" s="400">
        <v>1.72</v>
      </c>
      <c r="J135" s="499">
        <v>8.0000000000000002E-3</v>
      </c>
    </row>
    <row r="136" spans="1:10" ht="35.049999999999997" customHeight="1" x14ac:dyDescent="0.3">
      <c r="A136" s="398" t="s">
        <v>884</v>
      </c>
      <c r="B136" s="392"/>
      <c r="C136" s="405">
        <v>0</v>
      </c>
      <c r="D136" s="501">
        <v>0.20399999999999999</v>
      </c>
      <c r="E136" s="502">
        <v>4.3999999999999997E-2</v>
      </c>
      <c r="F136" s="503">
        <v>0.02</v>
      </c>
      <c r="G136" s="508">
        <v>795.13</v>
      </c>
      <c r="H136" s="508">
        <v>1.5</v>
      </c>
      <c r="I136" s="400">
        <v>1.72</v>
      </c>
      <c r="J136" s="499">
        <v>8.0000000000000002E-3</v>
      </c>
    </row>
    <row r="137" spans="1:10" ht="35.049999999999997" customHeight="1" x14ac:dyDescent="0.3">
      <c r="A137" s="398" t="s">
        <v>885</v>
      </c>
      <c r="B137" s="392"/>
      <c r="C137" s="405">
        <v>0</v>
      </c>
      <c r="D137" s="501">
        <v>0.20399999999999999</v>
      </c>
      <c r="E137" s="502">
        <v>4.3999999999999997E-2</v>
      </c>
      <c r="F137" s="503">
        <v>0.02</v>
      </c>
      <c r="G137" s="508">
        <v>1596.96</v>
      </c>
      <c r="H137" s="508">
        <v>1.5</v>
      </c>
      <c r="I137" s="400">
        <v>1.72</v>
      </c>
      <c r="J137" s="499">
        <v>8.0000000000000002E-3</v>
      </c>
    </row>
    <row r="138" spans="1:10" ht="35.049999999999997" customHeight="1" x14ac:dyDescent="0.3">
      <c r="A138" s="398" t="s">
        <v>591</v>
      </c>
      <c r="B138" s="392"/>
      <c r="C138" s="405" t="s">
        <v>616</v>
      </c>
      <c r="D138" s="504">
        <v>1.077</v>
      </c>
      <c r="E138" s="505">
        <v>0.36399999999999999</v>
      </c>
      <c r="F138" s="503">
        <v>0.29799999999999999</v>
      </c>
      <c r="G138" s="509"/>
      <c r="H138" s="509"/>
      <c r="I138" s="399"/>
      <c r="J138" s="500"/>
    </row>
    <row r="139" spans="1:10" ht="35.049999999999997" customHeight="1" x14ac:dyDescent="0.3">
      <c r="A139" s="398" t="s">
        <v>701</v>
      </c>
      <c r="B139" s="392"/>
      <c r="C139" s="405">
        <v>0</v>
      </c>
      <c r="D139" s="501">
        <v>-0.622</v>
      </c>
      <c r="E139" s="502">
        <v>-0.17299999999999999</v>
      </c>
      <c r="F139" s="503">
        <v>-4.9000000000000002E-2</v>
      </c>
      <c r="G139" s="508">
        <v>0</v>
      </c>
      <c r="H139" s="509"/>
      <c r="I139" s="399"/>
      <c r="J139" s="500"/>
    </row>
    <row r="140" spans="1:10" ht="35.049999999999997" customHeight="1" x14ac:dyDescent="0.3">
      <c r="A140" s="398" t="s">
        <v>702</v>
      </c>
      <c r="B140" s="392"/>
      <c r="C140" s="405">
        <v>0</v>
      </c>
      <c r="D140" s="501">
        <v>-0.60199999999999998</v>
      </c>
      <c r="E140" s="502">
        <v>-0.16500000000000001</v>
      </c>
      <c r="F140" s="503">
        <v>-4.7E-2</v>
      </c>
      <c r="G140" s="508">
        <v>0</v>
      </c>
      <c r="H140" s="509"/>
      <c r="I140" s="399"/>
      <c r="J140" s="500"/>
    </row>
    <row r="141" spans="1:10" ht="35.049999999999997" customHeight="1" x14ac:dyDescent="0.3">
      <c r="A141" s="398" t="s">
        <v>703</v>
      </c>
      <c r="B141" s="392"/>
      <c r="C141" s="405">
        <v>0</v>
      </c>
      <c r="D141" s="501">
        <v>-0.622</v>
      </c>
      <c r="E141" s="502">
        <v>-0.17299999999999999</v>
      </c>
      <c r="F141" s="503">
        <v>-4.9000000000000002E-2</v>
      </c>
      <c r="G141" s="508">
        <v>0</v>
      </c>
      <c r="H141" s="509"/>
      <c r="I141" s="399"/>
      <c r="J141" s="499">
        <v>2.9000000000000001E-2</v>
      </c>
    </row>
    <row r="142" spans="1:10" ht="35.049999999999997" customHeight="1" x14ac:dyDescent="0.3">
      <c r="A142" s="398" t="s">
        <v>704</v>
      </c>
      <c r="B142" s="392"/>
      <c r="C142" s="405">
        <v>0</v>
      </c>
      <c r="D142" s="501">
        <v>-0.60199999999999998</v>
      </c>
      <c r="E142" s="502">
        <v>-0.16500000000000001</v>
      </c>
      <c r="F142" s="503">
        <v>-4.7E-2</v>
      </c>
      <c r="G142" s="508">
        <v>0</v>
      </c>
      <c r="H142" s="509"/>
      <c r="I142" s="399"/>
      <c r="J142" s="499">
        <v>2.5999999999999999E-2</v>
      </c>
    </row>
    <row r="143" spans="1:10" ht="35.049999999999997" customHeight="1" x14ac:dyDescent="0.3">
      <c r="A143" s="398" t="s">
        <v>705</v>
      </c>
      <c r="B143" s="392"/>
      <c r="C143" s="405">
        <v>0</v>
      </c>
      <c r="D143" s="501">
        <v>-0.67500000000000004</v>
      </c>
      <c r="E143" s="502">
        <v>-0.152</v>
      </c>
      <c r="F143" s="503">
        <v>-5.1999999999999998E-2</v>
      </c>
      <c r="G143" s="508">
        <v>150.76</v>
      </c>
      <c r="H143" s="509"/>
      <c r="I143" s="399"/>
      <c r="J143" s="499">
        <v>5.0999999999999997E-2</v>
      </c>
    </row>
    <row r="144" spans="1:10" ht="35.049999999999997" customHeight="1" x14ac:dyDescent="0.3">
      <c r="A144" s="398" t="s">
        <v>886</v>
      </c>
      <c r="B144" s="392"/>
      <c r="C144" s="405" t="s">
        <v>639</v>
      </c>
      <c r="D144" s="501">
        <v>0.47499999999999998</v>
      </c>
      <c r="E144" s="502">
        <v>0.13200000000000001</v>
      </c>
      <c r="F144" s="503">
        <v>3.7999999999999999E-2</v>
      </c>
      <c r="G144" s="508">
        <v>1.5</v>
      </c>
      <c r="H144" s="509"/>
      <c r="I144" s="399"/>
      <c r="J144" s="500"/>
    </row>
    <row r="145" spans="1:10" ht="35.049999999999997" customHeight="1" x14ac:dyDescent="0.3">
      <c r="A145" s="398" t="s">
        <v>887</v>
      </c>
      <c r="B145" s="392"/>
      <c r="C145" s="405">
        <v>2</v>
      </c>
      <c r="D145" s="501">
        <v>0.47499999999999998</v>
      </c>
      <c r="E145" s="502">
        <v>0.13200000000000001</v>
      </c>
      <c r="F145" s="503">
        <v>3.7999999999999999E-2</v>
      </c>
      <c r="G145" s="509"/>
      <c r="H145" s="509"/>
      <c r="I145" s="399"/>
      <c r="J145" s="500"/>
    </row>
    <row r="146" spans="1:10" ht="35.049999999999997" customHeight="1" x14ac:dyDescent="0.3">
      <c r="A146" s="398" t="s">
        <v>888</v>
      </c>
      <c r="B146" s="392"/>
      <c r="C146" s="405" t="s">
        <v>640</v>
      </c>
      <c r="D146" s="501">
        <v>0.58099999999999996</v>
      </c>
      <c r="E146" s="502">
        <v>0.161</v>
      </c>
      <c r="F146" s="503">
        <v>4.5999999999999999E-2</v>
      </c>
      <c r="G146" s="508">
        <v>1.05</v>
      </c>
      <c r="H146" s="509"/>
      <c r="I146" s="399"/>
      <c r="J146" s="500"/>
    </row>
    <row r="147" spans="1:10" ht="35.049999999999997" customHeight="1" x14ac:dyDescent="0.3">
      <c r="A147" s="398" t="s">
        <v>889</v>
      </c>
      <c r="B147" s="392"/>
      <c r="C147" s="405" t="s">
        <v>640</v>
      </c>
      <c r="D147" s="501">
        <v>0.58099999999999996</v>
      </c>
      <c r="E147" s="502">
        <v>0.161</v>
      </c>
      <c r="F147" s="503">
        <v>4.5999999999999999E-2</v>
      </c>
      <c r="G147" s="508">
        <v>1.41</v>
      </c>
      <c r="H147" s="509"/>
      <c r="I147" s="399"/>
      <c r="J147" s="500"/>
    </row>
    <row r="148" spans="1:10" ht="35.049999999999997" customHeight="1" x14ac:dyDescent="0.3">
      <c r="A148" s="398" t="s">
        <v>890</v>
      </c>
      <c r="B148" s="392"/>
      <c r="C148" s="405" t="s">
        <v>640</v>
      </c>
      <c r="D148" s="501">
        <v>0.58099999999999996</v>
      </c>
      <c r="E148" s="502">
        <v>0.161</v>
      </c>
      <c r="F148" s="503">
        <v>4.5999999999999999E-2</v>
      </c>
      <c r="G148" s="508">
        <v>2.14</v>
      </c>
      <c r="H148" s="509"/>
      <c r="I148" s="399"/>
      <c r="J148" s="500"/>
    </row>
    <row r="149" spans="1:10" ht="35.049999999999997" customHeight="1" x14ac:dyDescent="0.3">
      <c r="A149" s="398" t="s">
        <v>891</v>
      </c>
      <c r="B149" s="392"/>
      <c r="C149" s="405" t="s">
        <v>640</v>
      </c>
      <c r="D149" s="501">
        <v>0.58099999999999996</v>
      </c>
      <c r="E149" s="502">
        <v>0.161</v>
      </c>
      <c r="F149" s="503">
        <v>4.5999999999999999E-2</v>
      </c>
      <c r="G149" s="508">
        <v>3.23</v>
      </c>
      <c r="H149" s="509"/>
      <c r="I149" s="399"/>
      <c r="J149" s="500"/>
    </row>
    <row r="150" spans="1:10" ht="35.049999999999997" customHeight="1" x14ac:dyDescent="0.3">
      <c r="A150" s="398" t="s">
        <v>892</v>
      </c>
      <c r="B150" s="392"/>
      <c r="C150" s="405" t="s">
        <v>640</v>
      </c>
      <c r="D150" s="501">
        <v>0.58099999999999996</v>
      </c>
      <c r="E150" s="502">
        <v>0.161</v>
      </c>
      <c r="F150" s="503">
        <v>4.5999999999999999E-2</v>
      </c>
      <c r="G150" s="508">
        <v>6.8</v>
      </c>
      <c r="H150" s="509"/>
      <c r="I150" s="399"/>
      <c r="J150" s="500"/>
    </row>
    <row r="151" spans="1:10" ht="35.049999999999997" customHeight="1" x14ac:dyDescent="0.3">
      <c r="A151" s="398" t="s">
        <v>592</v>
      </c>
      <c r="B151" s="392"/>
      <c r="C151" s="405">
        <v>4</v>
      </c>
      <c r="D151" s="501">
        <v>0.58099999999999996</v>
      </c>
      <c r="E151" s="502">
        <v>0.161</v>
      </c>
      <c r="F151" s="503">
        <v>4.5999999999999999E-2</v>
      </c>
      <c r="G151" s="509"/>
      <c r="H151" s="509"/>
      <c r="I151" s="399"/>
      <c r="J151" s="500"/>
    </row>
    <row r="152" spans="1:10" ht="35.049999999999997" customHeight="1" x14ac:dyDescent="0.3">
      <c r="A152" s="398" t="s">
        <v>893</v>
      </c>
      <c r="B152" s="392"/>
      <c r="C152" s="405">
        <v>0</v>
      </c>
      <c r="D152" s="501">
        <v>0.39100000000000001</v>
      </c>
      <c r="E152" s="502">
        <v>0.104</v>
      </c>
      <c r="F152" s="503">
        <v>3.1E-2</v>
      </c>
      <c r="G152" s="508">
        <v>2.25</v>
      </c>
      <c r="H152" s="508">
        <v>0.4</v>
      </c>
      <c r="I152" s="400">
        <v>0.66</v>
      </c>
      <c r="J152" s="499">
        <v>1.7000000000000001E-2</v>
      </c>
    </row>
    <row r="153" spans="1:10" ht="35.049999999999997" customHeight="1" x14ac:dyDescent="0.3">
      <c r="A153" s="398" t="s">
        <v>894</v>
      </c>
      <c r="B153" s="392"/>
      <c r="C153" s="405">
        <v>0</v>
      </c>
      <c r="D153" s="501">
        <v>0.39100000000000001</v>
      </c>
      <c r="E153" s="502">
        <v>0.104</v>
      </c>
      <c r="F153" s="503">
        <v>3.1E-2</v>
      </c>
      <c r="G153" s="508">
        <v>15.03</v>
      </c>
      <c r="H153" s="508">
        <v>0.4</v>
      </c>
      <c r="I153" s="400">
        <v>0.66</v>
      </c>
      <c r="J153" s="499">
        <v>1.7000000000000001E-2</v>
      </c>
    </row>
    <row r="154" spans="1:10" ht="35.049999999999997" customHeight="1" x14ac:dyDescent="0.3">
      <c r="A154" s="398" t="s">
        <v>895</v>
      </c>
      <c r="B154" s="392"/>
      <c r="C154" s="405">
        <v>0</v>
      </c>
      <c r="D154" s="501">
        <v>0.39100000000000001</v>
      </c>
      <c r="E154" s="502">
        <v>0.104</v>
      </c>
      <c r="F154" s="503">
        <v>3.1E-2</v>
      </c>
      <c r="G154" s="508">
        <v>25.48</v>
      </c>
      <c r="H154" s="508">
        <v>0.4</v>
      </c>
      <c r="I154" s="400">
        <v>0.66</v>
      </c>
      <c r="J154" s="499">
        <v>1.7000000000000001E-2</v>
      </c>
    </row>
    <row r="155" spans="1:10" ht="35.049999999999997" customHeight="1" x14ac:dyDescent="0.3">
      <c r="A155" s="398" t="s">
        <v>896</v>
      </c>
      <c r="B155" s="392"/>
      <c r="C155" s="405">
        <v>0</v>
      </c>
      <c r="D155" s="501">
        <v>0.39100000000000001</v>
      </c>
      <c r="E155" s="502">
        <v>0.104</v>
      </c>
      <c r="F155" s="503">
        <v>3.1E-2</v>
      </c>
      <c r="G155" s="508">
        <v>40.93</v>
      </c>
      <c r="H155" s="508">
        <v>0.4</v>
      </c>
      <c r="I155" s="400">
        <v>0.66</v>
      </c>
      <c r="J155" s="499">
        <v>1.7000000000000001E-2</v>
      </c>
    </row>
    <row r="156" spans="1:10" ht="35.049999999999997" customHeight="1" x14ac:dyDescent="0.3">
      <c r="A156" s="398" t="s">
        <v>897</v>
      </c>
      <c r="B156" s="392"/>
      <c r="C156" s="405">
        <v>0</v>
      </c>
      <c r="D156" s="501">
        <v>0.39100000000000001</v>
      </c>
      <c r="E156" s="502">
        <v>0.104</v>
      </c>
      <c r="F156" s="503">
        <v>3.1E-2</v>
      </c>
      <c r="G156" s="508">
        <v>91.69</v>
      </c>
      <c r="H156" s="508">
        <v>0.4</v>
      </c>
      <c r="I156" s="400">
        <v>0.66</v>
      </c>
      <c r="J156" s="499">
        <v>1.7000000000000001E-2</v>
      </c>
    </row>
    <row r="157" spans="1:10" ht="35.049999999999997" customHeight="1" x14ac:dyDescent="0.3">
      <c r="A157" s="398" t="s">
        <v>898</v>
      </c>
      <c r="B157" s="392"/>
      <c r="C157" s="405">
        <v>0</v>
      </c>
      <c r="D157" s="501">
        <v>0.30599999999999999</v>
      </c>
      <c r="E157" s="502">
        <v>6.9000000000000006E-2</v>
      </c>
      <c r="F157" s="503">
        <v>2.4E-2</v>
      </c>
      <c r="G157" s="508">
        <v>7.78</v>
      </c>
      <c r="H157" s="508">
        <v>0.88</v>
      </c>
      <c r="I157" s="400">
        <v>1.1599999999999999</v>
      </c>
      <c r="J157" s="499">
        <v>1.0999999999999999E-2</v>
      </c>
    </row>
    <row r="158" spans="1:10" ht="35.049999999999997" customHeight="1" x14ac:dyDescent="0.3">
      <c r="A158" s="398" t="s">
        <v>899</v>
      </c>
      <c r="B158" s="392"/>
      <c r="C158" s="405">
        <v>0</v>
      </c>
      <c r="D158" s="501">
        <v>0.30599999999999999</v>
      </c>
      <c r="E158" s="502">
        <v>6.9000000000000006E-2</v>
      </c>
      <c r="F158" s="503">
        <v>2.4E-2</v>
      </c>
      <c r="G158" s="508">
        <v>25.7</v>
      </c>
      <c r="H158" s="508">
        <v>0.88</v>
      </c>
      <c r="I158" s="400">
        <v>1.1599999999999999</v>
      </c>
      <c r="J158" s="499">
        <v>1.0999999999999999E-2</v>
      </c>
    </row>
    <row r="159" spans="1:10" ht="35.049999999999997" customHeight="1" x14ac:dyDescent="0.3">
      <c r="A159" s="398" t="s">
        <v>900</v>
      </c>
      <c r="B159" s="392"/>
      <c r="C159" s="405">
        <v>0</v>
      </c>
      <c r="D159" s="501">
        <v>0.30599999999999999</v>
      </c>
      <c r="E159" s="502">
        <v>6.9000000000000006E-2</v>
      </c>
      <c r="F159" s="503">
        <v>2.4E-2</v>
      </c>
      <c r="G159" s="508">
        <v>40.35</v>
      </c>
      <c r="H159" s="508">
        <v>0.88</v>
      </c>
      <c r="I159" s="400">
        <v>1.1599999999999999</v>
      </c>
      <c r="J159" s="499">
        <v>1.0999999999999999E-2</v>
      </c>
    </row>
    <row r="160" spans="1:10" ht="35.049999999999997" customHeight="1" x14ac:dyDescent="0.3">
      <c r="A160" s="398" t="s">
        <v>901</v>
      </c>
      <c r="B160" s="392"/>
      <c r="C160" s="405">
        <v>0</v>
      </c>
      <c r="D160" s="501">
        <v>0.30599999999999999</v>
      </c>
      <c r="E160" s="502">
        <v>6.9000000000000006E-2</v>
      </c>
      <c r="F160" s="503">
        <v>2.4E-2</v>
      </c>
      <c r="G160" s="508">
        <v>62.02</v>
      </c>
      <c r="H160" s="508">
        <v>0.88</v>
      </c>
      <c r="I160" s="400">
        <v>1.1599999999999999</v>
      </c>
      <c r="J160" s="499">
        <v>1.0999999999999999E-2</v>
      </c>
    </row>
    <row r="161" spans="1:10" ht="35.049999999999997" customHeight="1" x14ac:dyDescent="0.3">
      <c r="A161" s="398" t="s">
        <v>902</v>
      </c>
      <c r="B161" s="392"/>
      <c r="C161" s="405">
        <v>0</v>
      </c>
      <c r="D161" s="501">
        <v>0.30599999999999999</v>
      </c>
      <c r="E161" s="502">
        <v>6.9000000000000006E-2</v>
      </c>
      <c r="F161" s="503">
        <v>2.4E-2</v>
      </c>
      <c r="G161" s="508">
        <v>133.19999999999999</v>
      </c>
      <c r="H161" s="508">
        <v>0.88</v>
      </c>
      <c r="I161" s="400">
        <v>1.1599999999999999</v>
      </c>
      <c r="J161" s="499">
        <v>1.0999999999999999E-2</v>
      </c>
    </row>
    <row r="162" spans="1:10" ht="35.049999999999997" customHeight="1" x14ac:dyDescent="0.3">
      <c r="A162" s="398" t="s">
        <v>903</v>
      </c>
      <c r="B162" s="392"/>
      <c r="C162" s="405">
        <v>0</v>
      </c>
      <c r="D162" s="501">
        <v>0.17299999999999999</v>
      </c>
      <c r="E162" s="502">
        <v>3.6999999999999998E-2</v>
      </c>
      <c r="F162" s="503">
        <v>1.7000000000000001E-2</v>
      </c>
      <c r="G162" s="508">
        <v>36.19</v>
      </c>
      <c r="H162" s="508">
        <v>1.27</v>
      </c>
      <c r="I162" s="400">
        <v>1.45</v>
      </c>
      <c r="J162" s="499">
        <v>7.0000000000000001E-3</v>
      </c>
    </row>
    <row r="163" spans="1:10" ht="35.049999999999997" customHeight="1" x14ac:dyDescent="0.3">
      <c r="A163" s="398" t="s">
        <v>904</v>
      </c>
      <c r="B163" s="392"/>
      <c r="C163" s="405">
        <v>0</v>
      </c>
      <c r="D163" s="501">
        <v>0.17299999999999999</v>
      </c>
      <c r="E163" s="502">
        <v>3.6999999999999998E-2</v>
      </c>
      <c r="F163" s="503">
        <v>1.7000000000000001E-2</v>
      </c>
      <c r="G163" s="508">
        <v>78.239999999999995</v>
      </c>
      <c r="H163" s="508">
        <v>1.27</v>
      </c>
      <c r="I163" s="400">
        <v>1.45</v>
      </c>
      <c r="J163" s="499">
        <v>7.0000000000000001E-3</v>
      </c>
    </row>
    <row r="164" spans="1:10" ht="35.049999999999997" customHeight="1" x14ac:dyDescent="0.3">
      <c r="A164" s="398" t="s">
        <v>905</v>
      </c>
      <c r="B164" s="392"/>
      <c r="C164" s="405">
        <v>0</v>
      </c>
      <c r="D164" s="501">
        <v>0.17299999999999999</v>
      </c>
      <c r="E164" s="502">
        <v>3.6999999999999998E-2</v>
      </c>
      <c r="F164" s="503">
        <v>1.7000000000000001E-2</v>
      </c>
      <c r="G164" s="508">
        <v>302.33</v>
      </c>
      <c r="H164" s="508">
        <v>1.27</v>
      </c>
      <c r="I164" s="400">
        <v>1.45</v>
      </c>
      <c r="J164" s="499">
        <v>7.0000000000000001E-3</v>
      </c>
    </row>
    <row r="165" spans="1:10" ht="35.049999999999997" customHeight="1" x14ac:dyDescent="0.3">
      <c r="A165" s="398" t="s">
        <v>906</v>
      </c>
      <c r="B165" s="392"/>
      <c r="C165" s="405">
        <v>0</v>
      </c>
      <c r="D165" s="501">
        <v>0.17299999999999999</v>
      </c>
      <c r="E165" s="502">
        <v>3.6999999999999998E-2</v>
      </c>
      <c r="F165" s="503">
        <v>1.7000000000000001E-2</v>
      </c>
      <c r="G165" s="508">
        <v>673.57</v>
      </c>
      <c r="H165" s="508">
        <v>1.27</v>
      </c>
      <c r="I165" s="400">
        <v>1.45</v>
      </c>
      <c r="J165" s="499">
        <v>7.0000000000000001E-3</v>
      </c>
    </row>
    <row r="166" spans="1:10" ht="35.049999999999997" customHeight="1" x14ac:dyDescent="0.3">
      <c r="A166" s="398" t="s">
        <v>907</v>
      </c>
      <c r="B166" s="392"/>
      <c r="C166" s="405">
        <v>0</v>
      </c>
      <c r="D166" s="501">
        <v>0.17299999999999999</v>
      </c>
      <c r="E166" s="502">
        <v>3.6999999999999998E-2</v>
      </c>
      <c r="F166" s="503">
        <v>1.7000000000000001E-2</v>
      </c>
      <c r="G166" s="508">
        <v>1352.77</v>
      </c>
      <c r="H166" s="508">
        <v>1.27</v>
      </c>
      <c r="I166" s="400">
        <v>1.45</v>
      </c>
      <c r="J166" s="499">
        <v>7.0000000000000001E-3</v>
      </c>
    </row>
    <row r="167" spans="1:10" ht="35.049999999999997" customHeight="1" x14ac:dyDescent="0.3">
      <c r="A167" s="398" t="s">
        <v>593</v>
      </c>
      <c r="B167" s="392"/>
      <c r="C167" s="405" t="s">
        <v>616</v>
      </c>
      <c r="D167" s="504">
        <v>0.91300000000000003</v>
      </c>
      <c r="E167" s="505">
        <v>0.309</v>
      </c>
      <c r="F167" s="503">
        <v>0.252</v>
      </c>
      <c r="G167" s="509"/>
      <c r="H167" s="509"/>
      <c r="I167" s="399"/>
      <c r="J167" s="500"/>
    </row>
    <row r="168" spans="1:10" ht="35.049999999999997" customHeight="1" x14ac:dyDescent="0.3">
      <c r="A168" s="398" t="s">
        <v>706</v>
      </c>
      <c r="B168" s="392"/>
      <c r="C168" s="405">
        <v>0</v>
      </c>
      <c r="D168" s="501">
        <v>-0.52700000000000002</v>
      </c>
      <c r="E168" s="502">
        <v>-0.14599999999999999</v>
      </c>
      <c r="F168" s="503">
        <v>-4.2000000000000003E-2</v>
      </c>
      <c r="G168" s="508">
        <v>0</v>
      </c>
      <c r="H168" s="509"/>
      <c r="I168" s="399"/>
      <c r="J168" s="500"/>
    </row>
    <row r="169" spans="1:10" ht="35.049999999999997" customHeight="1" x14ac:dyDescent="0.3">
      <c r="A169" s="398" t="s">
        <v>707</v>
      </c>
      <c r="B169" s="392"/>
      <c r="C169" s="405">
        <v>0</v>
      </c>
      <c r="D169" s="501">
        <v>-0.51</v>
      </c>
      <c r="E169" s="502">
        <v>-0.13900000000000001</v>
      </c>
      <c r="F169" s="503">
        <v>-0.04</v>
      </c>
      <c r="G169" s="508">
        <v>0</v>
      </c>
      <c r="H169" s="509"/>
      <c r="I169" s="399"/>
      <c r="J169" s="500"/>
    </row>
    <row r="170" spans="1:10" ht="35.049999999999997" customHeight="1" x14ac:dyDescent="0.3">
      <c r="A170" s="398" t="s">
        <v>708</v>
      </c>
      <c r="B170" s="392"/>
      <c r="C170" s="405">
        <v>0</v>
      </c>
      <c r="D170" s="501">
        <v>-0.52700000000000002</v>
      </c>
      <c r="E170" s="502">
        <v>-0.14599999999999999</v>
      </c>
      <c r="F170" s="503">
        <v>-4.2000000000000003E-2</v>
      </c>
      <c r="G170" s="508">
        <v>0</v>
      </c>
      <c r="H170" s="509"/>
      <c r="I170" s="399"/>
      <c r="J170" s="499">
        <v>2.5000000000000001E-2</v>
      </c>
    </row>
    <row r="171" spans="1:10" ht="35.049999999999997" customHeight="1" x14ac:dyDescent="0.3">
      <c r="A171" s="398" t="s">
        <v>709</v>
      </c>
      <c r="B171" s="392"/>
      <c r="C171" s="405">
        <v>0</v>
      </c>
      <c r="D171" s="501">
        <v>-0.51</v>
      </c>
      <c r="E171" s="502">
        <v>-0.13900000000000001</v>
      </c>
      <c r="F171" s="503">
        <v>-0.04</v>
      </c>
      <c r="G171" s="508">
        <v>0</v>
      </c>
      <c r="H171" s="509"/>
      <c r="I171" s="399"/>
      <c r="J171" s="499">
        <v>2.1999999999999999E-2</v>
      </c>
    </row>
    <row r="172" spans="1:10" ht="35.049999999999997" customHeight="1" x14ac:dyDescent="0.3">
      <c r="A172" s="398" t="s">
        <v>710</v>
      </c>
      <c r="B172" s="392"/>
      <c r="C172" s="405">
        <v>0</v>
      </c>
      <c r="D172" s="501">
        <v>-0.57199999999999995</v>
      </c>
      <c r="E172" s="502">
        <v>-0.128</v>
      </c>
      <c r="F172" s="503">
        <v>-4.3999999999999997E-2</v>
      </c>
      <c r="G172" s="508">
        <v>127.71</v>
      </c>
      <c r="H172" s="509"/>
      <c r="I172" s="399"/>
      <c r="J172" s="499">
        <v>4.2999999999999997E-2</v>
      </c>
    </row>
    <row r="173" spans="1:10" ht="35.049999999999997" customHeight="1" x14ac:dyDescent="0.3">
      <c r="A173" s="398" t="s">
        <v>908</v>
      </c>
      <c r="B173" s="392"/>
      <c r="C173" s="405" t="s">
        <v>639</v>
      </c>
      <c r="D173" s="501">
        <v>0.47499999999999998</v>
      </c>
      <c r="E173" s="502">
        <v>0.13200000000000001</v>
      </c>
      <c r="F173" s="503">
        <v>3.7999999999999999E-2</v>
      </c>
      <c r="G173" s="508">
        <v>1.5</v>
      </c>
      <c r="H173" s="509"/>
      <c r="I173" s="399"/>
      <c r="J173" s="500"/>
    </row>
    <row r="174" spans="1:10" ht="35.049999999999997" customHeight="1" x14ac:dyDescent="0.3">
      <c r="A174" s="398" t="s">
        <v>909</v>
      </c>
      <c r="B174" s="392"/>
      <c r="C174" s="405">
        <v>2</v>
      </c>
      <c r="D174" s="501">
        <v>0.47499999999999998</v>
      </c>
      <c r="E174" s="502">
        <v>0.13200000000000001</v>
      </c>
      <c r="F174" s="503">
        <v>3.7999999999999999E-2</v>
      </c>
      <c r="G174" s="509"/>
      <c r="H174" s="509"/>
      <c r="I174" s="399"/>
      <c r="J174" s="500"/>
    </row>
    <row r="175" spans="1:10" ht="35.049999999999997" customHeight="1" x14ac:dyDescent="0.3">
      <c r="A175" s="398" t="s">
        <v>910</v>
      </c>
      <c r="B175" s="392"/>
      <c r="C175" s="405" t="s">
        <v>640</v>
      </c>
      <c r="D175" s="501">
        <v>0.58099999999999996</v>
      </c>
      <c r="E175" s="502">
        <v>0.161</v>
      </c>
      <c r="F175" s="503">
        <v>4.5999999999999999E-2</v>
      </c>
      <c r="G175" s="508">
        <v>1.05</v>
      </c>
      <c r="H175" s="509"/>
      <c r="I175" s="399"/>
      <c r="J175" s="500"/>
    </row>
    <row r="176" spans="1:10" ht="35.049999999999997" customHeight="1" x14ac:dyDescent="0.3">
      <c r="A176" s="398" t="s">
        <v>911</v>
      </c>
      <c r="B176" s="392"/>
      <c r="C176" s="405" t="s">
        <v>640</v>
      </c>
      <c r="D176" s="501">
        <v>0.58099999999999996</v>
      </c>
      <c r="E176" s="502">
        <v>0.161</v>
      </c>
      <c r="F176" s="503">
        <v>4.5999999999999999E-2</v>
      </c>
      <c r="G176" s="508">
        <v>1.41</v>
      </c>
      <c r="H176" s="509"/>
      <c r="I176" s="399"/>
      <c r="J176" s="500"/>
    </row>
    <row r="177" spans="1:10" ht="35.049999999999997" customHeight="1" x14ac:dyDescent="0.3">
      <c r="A177" s="398" t="s">
        <v>912</v>
      </c>
      <c r="B177" s="392"/>
      <c r="C177" s="405" t="s">
        <v>640</v>
      </c>
      <c r="D177" s="501">
        <v>0.58099999999999996</v>
      </c>
      <c r="E177" s="502">
        <v>0.161</v>
      </c>
      <c r="F177" s="503">
        <v>4.5999999999999999E-2</v>
      </c>
      <c r="G177" s="508">
        <v>2.14</v>
      </c>
      <c r="H177" s="509"/>
      <c r="I177" s="399"/>
      <c r="J177" s="500"/>
    </row>
    <row r="178" spans="1:10" ht="35.049999999999997" customHeight="1" x14ac:dyDescent="0.3">
      <c r="A178" s="398" t="s">
        <v>913</v>
      </c>
      <c r="B178" s="392"/>
      <c r="C178" s="405" t="s">
        <v>640</v>
      </c>
      <c r="D178" s="501">
        <v>0.58099999999999996</v>
      </c>
      <c r="E178" s="502">
        <v>0.161</v>
      </c>
      <c r="F178" s="503">
        <v>4.5999999999999999E-2</v>
      </c>
      <c r="G178" s="508">
        <v>3.23</v>
      </c>
      <c r="H178" s="509"/>
      <c r="I178" s="399"/>
      <c r="J178" s="500"/>
    </row>
    <row r="179" spans="1:10" ht="35.049999999999997" customHeight="1" x14ac:dyDescent="0.3">
      <c r="A179" s="398" t="s">
        <v>914</v>
      </c>
      <c r="B179" s="392"/>
      <c r="C179" s="405" t="s">
        <v>640</v>
      </c>
      <c r="D179" s="501">
        <v>0.58099999999999996</v>
      </c>
      <c r="E179" s="502">
        <v>0.161</v>
      </c>
      <c r="F179" s="503">
        <v>4.5999999999999999E-2</v>
      </c>
      <c r="G179" s="508">
        <v>6.8</v>
      </c>
      <c r="H179" s="509"/>
      <c r="I179" s="399"/>
      <c r="J179" s="500"/>
    </row>
    <row r="180" spans="1:10" ht="35.049999999999997" customHeight="1" x14ac:dyDescent="0.3">
      <c r="A180" s="398" t="s">
        <v>594</v>
      </c>
      <c r="B180" s="392"/>
      <c r="C180" s="405">
        <v>4</v>
      </c>
      <c r="D180" s="501">
        <v>0.58099999999999996</v>
      </c>
      <c r="E180" s="502">
        <v>0.161</v>
      </c>
      <c r="F180" s="503">
        <v>4.5999999999999999E-2</v>
      </c>
      <c r="G180" s="509"/>
      <c r="H180" s="509"/>
      <c r="I180" s="399"/>
      <c r="J180" s="500"/>
    </row>
    <row r="181" spans="1:10" ht="35.049999999999997" customHeight="1" x14ac:dyDescent="0.3">
      <c r="A181" s="398" t="s">
        <v>915</v>
      </c>
      <c r="B181" s="392"/>
      <c r="C181" s="405">
        <v>0</v>
      </c>
      <c r="D181" s="501">
        <v>0.39100000000000001</v>
      </c>
      <c r="E181" s="502">
        <v>0.104</v>
      </c>
      <c r="F181" s="503">
        <v>3.1E-2</v>
      </c>
      <c r="G181" s="508">
        <v>2.25</v>
      </c>
      <c r="H181" s="508">
        <v>0.4</v>
      </c>
      <c r="I181" s="400">
        <v>0.66</v>
      </c>
      <c r="J181" s="499">
        <v>1.7000000000000001E-2</v>
      </c>
    </row>
    <row r="182" spans="1:10" ht="35.049999999999997" customHeight="1" x14ac:dyDescent="0.3">
      <c r="A182" s="398" t="s">
        <v>916</v>
      </c>
      <c r="B182" s="392"/>
      <c r="C182" s="405">
        <v>0</v>
      </c>
      <c r="D182" s="501">
        <v>0.39100000000000001</v>
      </c>
      <c r="E182" s="502">
        <v>0.104</v>
      </c>
      <c r="F182" s="503">
        <v>3.1E-2</v>
      </c>
      <c r="G182" s="508">
        <v>15.03</v>
      </c>
      <c r="H182" s="508">
        <v>0.4</v>
      </c>
      <c r="I182" s="400">
        <v>0.66</v>
      </c>
      <c r="J182" s="499">
        <v>1.7000000000000001E-2</v>
      </c>
    </row>
    <row r="183" spans="1:10" ht="35.049999999999997" customHeight="1" x14ac:dyDescent="0.3">
      <c r="A183" s="398" t="s">
        <v>917</v>
      </c>
      <c r="B183" s="392"/>
      <c r="C183" s="405">
        <v>0</v>
      </c>
      <c r="D183" s="501">
        <v>0.39100000000000001</v>
      </c>
      <c r="E183" s="502">
        <v>0.104</v>
      </c>
      <c r="F183" s="503">
        <v>3.1E-2</v>
      </c>
      <c r="G183" s="508">
        <v>25.48</v>
      </c>
      <c r="H183" s="508">
        <v>0.4</v>
      </c>
      <c r="I183" s="400">
        <v>0.66</v>
      </c>
      <c r="J183" s="499">
        <v>1.7000000000000001E-2</v>
      </c>
    </row>
    <row r="184" spans="1:10" ht="35.049999999999997" customHeight="1" x14ac:dyDescent="0.3">
      <c r="A184" s="398" t="s">
        <v>918</v>
      </c>
      <c r="B184" s="392"/>
      <c r="C184" s="405">
        <v>0</v>
      </c>
      <c r="D184" s="501">
        <v>0.39100000000000001</v>
      </c>
      <c r="E184" s="502">
        <v>0.104</v>
      </c>
      <c r="F184" s="503">
        <v>3.1E-2</v>
      </c>
      <c r="G184" s="508">
        <v>40.93</v>
      </c>
      <c r="H184" s="508">
        <v>0.4</v>
      </c>
      <c r="I184" s="400">
        <v>0.66</v>
      </c>
      <c r="J184" s="499">
        <v>1.7000000000000001E-2</v>
      </c>
    </row>
    <row r="185" spans="1:10" ht="35.049999999999997" customHeight="1" x14ac:dyDescent="0.3">
      <c r="A185" s="398" t="s">
        <v>919</v>
      </c>
      <c r="B185" s="392"/>
      <c r="C185" s="405">
        <v>0</v>
      </c>
      <c r="D185" s="501">
        <v>0.39100000000000001</v>
      </c>
      <c r="E185" s="502">
        <v>0.104</v>
      </c>
      <c r="F185" s="503">
        <v>3.1E-2</v>
      </c>
      <c r="G185" s="508">
        <v>91.69</v>
      </c>
      <c r="H185" s="508">
        <v>0.4</v>
      </c>
      <c r="I185" s="400">
        <v>0.66</v>
      </c>
      <c r="J185" s="499">
        <v>1.7000000000000001E-2</v>
      </c>
    </row>
    <row r="186" spans="1:10" ht="35.049999999999997" customHeight="1" x14ac:dyDescent="0.3">
      <c r="A186" s="398" t="s">
        <v>920</v>
      </c>
      <c r="B186" s="392"/>
      <c r="C186" s="405">
        <v>0</v>
      </c>
      <c r="D186" s="501">
        <v>0.30599999999999999</v>
      </c>
      <c r="E186" s="502">
        <v>6.9000000000000006E-2</v>
      </c>
      <c r="F186" s="503">
        <v>2.4E-2</v>
      </c>
      <c r="G186" s="508">
        <v>7.78</v>
      </c>
      <c r="H186" s="508">
        <v>0.88</v>
      </c>
      <c r="I186" s="400">
        <v>1.1599999999999999</v>
      </c>
      <c r="J186" s="499">
        <v>1.0999999999999999E-2</v>
      </c>
    </row>
    <row r="187" spans="1:10" ht="35.049999999999997" customHeight="1" x14ac:dyDescent="0.3">
      <c r="A187" s="398" t="s">
        <v>921</v>
      </c>
      <c r="B187" s="392"/>
      <c r="C187" s="405">
        <v>0</v>
      </c>
      <c r="D187" s="501">
        <v>0.30599999999999999</v>
      </c>
      <c r="E187" s="502">
        <v>6.9000000000000006E-2</v>
      </c>
      <c r="F187" s="503">
        <v>2.4E-2</v>
      </c>
      <c r="G187" s="508">
        <v>25.7</v>
      </c>
      <c r="H187" s="508">
        <v>0.88</v>
      </c>
      <c r="I187" s="400">
        <v>1.1599999999999999</v>
      </c>
      <c r="J187" s="499">
        <v>1.0999999999999999E-2</v>
      </c>
    </row>
    <row r="188" spans="1:10" ht="35.049999999999997" customHeight="1" x14ac:dyDescent="0.3">
      <c r="A188" s="398" t="s">
        <v>922</v>
      </c>
      <c r="B188" s="392"/>
      <c r="C188" s="405">
        <v>0</v>
      </c>
      <c r="D188" s="501">
        <v>0.30599999999999999</v>
      </c>
      <c r="E188" s="502">
        <v>6.9000000000000006E-2</v>
      </c>
      <c r="F188" s="503">
        <v>2.4E-2</v>
      </c>
      <c r="G188" s="508">
        <v>40.35</v>
      </c>
      <c r="H188" s="508">
        <v>0.88</v>
      </c>
      <c r="I188" s="400">
        <v>1.1599999999999999</v>
      </c>
      <c r="J188" s="499">
        <v>1.0999999999999999E-2</v>
      </c>
    </row>
    <row r="189" spans="1:10" ht="35.049999999999997" customHeight="1" x14ac:dyDescent="0.3">
      <c r="A189" s="398" t="s">
        <v>923</v>
      </c>
      <c r="B189" s="392"/>
      <c r="C189" s="405">
        <v>0</v>
      </c>
      <c r="D189" s="501">
        <v>0.30599999999999999</v>
      </c>
      <c r="E189" s="502">
        <v>6.9000000000000006E-2</v>
      </c>
      <c r="F189" s="503">
        <v>2.4E-2</v>
      </c>
      <c r="G189" s="508">
        <v>62.02</v>
      </c>
      <c r="H189" s="508">
        <v>0.88</v>
      </c>
      <c r="I189" s="400">
        <v>1.1599999999999999</v>
      </c>
      <c r="J189" s="499">
        <v>1.0999999999999999E-2</v>
      </c>
    </row>
    <row r="190" spans="1:10" ht="35.049999999999997" customHeight="1" x14ac:dyDescent="0.3">
      <c r="A190" s="398" t="s">
        <v>924</v>
      </c>
      <c r="B190" s="392"/>
      <c r="C190" s="405">
        <v>0</v>
      </c>
      <c r="D190" s="501">
        <v>0.30599999999999999</v>
      </c>
      <c r="E190" s="502">
        <v>6.9000000000000006E-2</v>
      </c>
      <c r="F190" s="503">
        <v>2.4E-2</v>
      </c>
      <c r="G190" s="508">
        <v>133.19999999999999</v>
      </c>
      <c r="H190" s="508">
        <v>0.88</v>
      </c>
      <c r="I190" s="400">
        <v>1.1599999999999999</v>
      </c>
      <c r="J190" s="499">
        <v>1.0999999999999999E-2</v>
      </c>
    </row>
    <row r="191" spans="1:10" ht="35.049999999999997" customHeight="1" x14ac:dyDescent="0.3">
      <c r="A191" s="398" t="s">
        <v>925</v>
      </c>
      <c r="B191" s="392"/>
      <c r="C191" s="405">
        <v>0</v>
      </c>
      <c r="D191" s="501">
        <v>0.17299999999999999</v>
      </c>
      <c r="E191" s="502">
        <v>3.6999999999999998E-2</v>
      </c>
      <c r="F191" s="503">
        <v>1.7000000000000001E-2</v>
      </c>
      <c r="G191" s="508">
        <v>36.19</v>
      </c>
      <c r="H191" s="508">
        <v>1.27</v>
      </c>
      <c r="I191" s="400">
        <v>1.45</v>
      </c>
      <c r="J191" s="499">
        <v>7.0000000000000001E-3</v>
      </c>
    </row>
    <row r="192" spans="1:10" ht="35.049999999999997" customHeight="1" x14ac:dyDescent="0.3">
      <c r="A192" s="398" t="s">
        <v>926</v>
      </c>
      <c r="B192" s="392"/>
      <c r="C192" s="405">
        <v>0</v>
      </c>
      <c r="D192" s="501">
        <v>0.17299999999999999</v>
      </c>
      <c r="E192" s="502">
        <v>3.6999999999999998E-2</v>
      </c>
      <c r="F192" s="503">
        <v>1.7000000000000001E-2</v>
      </c>
      <c r="G192" s="508">
        <v>78.239999999999995</v>
      </c>
      <c r="H192" s="508">
        <v>1.27</v>
      </c>
      <c r="I192" s="400">
        <v>1.45</v>
      </c>
      <c r="J192" s="499">
        <v>7.0000000000000001E-3</v>
      </c>
    </row>
    <row r="193" spans="1:10" ht="35.049999999999997" customHeight="1" x14ac:dyDescent="0.3">
      <c r="A193" s="398" t="s">
        <v>927</v>
      </c>
      <c r="B193" s="392"/>
      <c r="C193" s="405">
        <v>0</v>
      </c>
      <c r="D193" s="501">
        <v>0.17299999999999999</v>
      </c>
      <c r="E193" s="502">
        <v>3.6999999999999998E-2</v>
      </c>
      <c r="F193" s="503">
        <v>1.7000000000000001E-2</v>
      </c>
      <c r="G193" s="508">
        <v>302.33</v>
      </c>
      <c r="H193" s="508">
        <v>1.27</v>
      </c>
      <c r="I193" s="400">
        <v>1.45</v>
      </c>
      <c r="J193" s="499">
        <v>7.0000000000000001E-3</v>
      </c>
    </row>
    <row r="194" spans="1:10" ht="35.049999999999997" customHeight="1" x14ac:dyDescent="0.3">
      <c r="A194" s="398" t="s">
        <v>928</v>
      </c>
      <c r="B194" s="392"/>
      <c r="C194" s="405">
        <v>0</v>
      </c>
      <c r="D194" s="501">
        <v>0.17299999999999999</v>
      </c>
      <c r="E194" s="502">
        <v>3.6999999999999998E-2</v>
      </c>
      <c r="F194" s="503">
        <v>1.7000000000000001E-2</v>
      </c>
      <c r="G194" s="508">
        <v>673.57</v>
      </c>
      <c r="H194" s="508">
        <v>1.27</v>
      </c>
      <c r="I194" s="400">
        <v>1.45</v>
      </c>
      <c r="J194" s="499">
        <v>7.0000000000000001E-3</v>
      </c>
    </row>
    <row r="195" spans="1:10" ht="35.049999999999997" customHeight="1" x14ac:dyDescent="0.3">
      <c r="A195" s="398" t="s">
        <v>929</v>
      </c>
      <c r="B195" s="392"/>
      <c r="C195" s="405">
        <v>0</v>
      </c>
      <c r="D195" s="501">
        <v>0.17299999999999999</v>
      </c>
      <c r="E195" s="502">
        <v>3.6999999999999998E-2</v>
      </c>
      <c r="F195" s="503">
        <v>1.7000000000000001E-2</v>
      </c>
      <c r="G195" s="508">
        <v>1352.77</v>
      </c>
      <c r="H195" s="508">
        <v>1.27</v>
      </c>
      <c r="I195" s="400">
        <v>1.45</v>
      </c>
      <c r="J195" s="499">
        <v>7.0000000000000001E-3</v>
      </c>
    </row>
    <row r="196" spans="1:10" ht="35.049999999999997" customHeight="1" x14ac:dyDescent="0.3">
      <c r="A196" s="398" t="s">
        <v>595</v>
      </c>
      <c r="B196" s="392"/>
      <c r="C196" s="405" t="s">
        <v>616</v>
      </c>
      <c r="D196" s="504">
        <v>0.91300000000000003</v>
      </c>
      <c r="E196" s="505">
        <v>0.309</v>
      </c>
      <c r="F196" s="503">
        <v>0.252</v>
      </c>
      <c r="G196" s="509"/>
      <c r="H196" s="509"/>
      <c r="I196" s="399"/>
      <c r="J196" s="500"/>
    </row>
    <row r="197" spans="1:10" ht="35.049999999999997" customHeight="1" x14ac:dyDescent="0.3">
      <c r="A197" s="398" t="s">
        <v>711</v>
      </c>
      <c r="B197" s="392"/>
      <c r="C197" s="405">
        <v>0</v>
      </c>
      <c r="D197" s="501">
        <v>-0.52700000000000002</v>
      </c>
      <c r="E197" s="502">
        <v>-0.14599999999999999</v>
      </c>
      <c r="F197" s="503">
        <v>-4.2000000000000003E-2</v>
      </c>
      <c r="G197" s="508">
        <v>0</v>
      </c>
      <c r="H197" s="509"/>
      <c r="I197" s="399"/>
      <c r="J197" s="500"/>
    </row>
    <row r="198" spans="1:10" ht="35.049999999999997" customHeight="1" x14ac:dyDescent="0.3">
      <c r="A198" s="398" t="s">
        <v>712</v>
      </c>
      <c r="B198" s="392"/>
      <c r="C198" s="405">
        <v>0</v>
      </c>
      <c r="D198" s="501">
        <v>-0.51</v>
      </c>
      <c r="E198" s="502">
        <v>-0.13900000000000001</v>
      </c>
      <c r="F198" s="503">
        <v>-0.04</v>
      </c>
      <c r="G198" s="508">
        <v>0</v>
      </c>
      <c r="H198" s="509"/>
      <c r="I198" s="399"/>
      <c r="J198" s="500"/>
    </row>
    <row r="199" spans="1:10" ht="35.049999999999997" customHeight="1" x14ac:dyDescent="0.3">
      <c r="A199" s="398" t="s">
        <v>713</v>
      </c>
      <c r="B199" s="392"/>
      <c r="C199" s="405">
        <v>0</v>
      </c>
      <c r="D199" s="501">
        <v>-0.52700000000000002</v>
      </c>
      <c r="E199" s="502">
        <v>-0.14599999999999999</v>
      </c>
      <c r="F199" s="503">
        <v>-4.2000000000000003E-2</v>
      </c>
      <c r="G199" s="508">
        <v>0</v>
      </c>
      <c r="H199" s="509"/>
      <c r="I199" s="399"/>
      <c r="J199" s="499">
        <v>2.5000000000000001E-2</v>
      </c>
    </row>
    <row r="200" spans="1:10" ht="35.049999999999997" customHeight="1" x14ac:dyDescent="0.3">
      <c r="A200" s="398" t="s">
        <v>714</v>
      </c>
      <c r="B200" s="392"/>
      <c r="C200" s="405">
        <v>0</v>
      </c>
      <c r="D200" s="501">
        <v>-0.51</v>
      </c>
      <c r="E200" s="502">
        <v>-0.13900000000000001</v>
      </c>
      <c r="F200" s="503">
        <v>-0.04</v>
      </c>
      <c r="G200" s="508">
        <v>0</v>
      </c>
      <c r="H200" s="509"/>
      <c r="I200" s="399"/>
      <c r="J200" s="499">
        <v>2.1999999999999999E-2</v>
      </c>
    </row>
    <row r="201" spans="1:10" ht="35.049999999999997" customHeight="1" x14ac:dyDescent="0.3">
      <c r="A201" s="398" t="s">
        <v>715</v>
      </c>
      <c r="B201" s="392"/>
      <c r="C201" s="405">
        <v>0</v>
      </c>
      <c r="D201" s="501">
        <v>-0.57199999999999995</v>
      </c>
      <c r="E201" s="502">
        <v>-0.128</v>
      </c>
      <c r="F201" s="503">
        <v>-4.3999999999999997E-2</v>
      </c>
      <c r="G201" s="508">
        <v>127.71</v>
      </c>
      <c r="H201" s="509"/>
      <c r="I201" s="399"/>
      <c r="J201" s="499">
        <v>4.2999999999999997E-2</v>
      </c>
    </row>
  </sheetData>
  <mergeCells count="13">
    <mergeCell ref="B1:D1"/>
    <mergeCell ref="F1:H1"/>
    <mergeCell ref="F8:G8"/>
    <mergeCell ref="F9:G9"/>
    <mergeCell ref="B10:D10"/>
    <mergeCell ref="F10:G10"/>
    <mergeCell ref="H10:J10"/>
    <mergeCell ref="A2:J2"/>
    <mergeCell ref="A4:D4"/>
    <mergeCell ref="F4:J4"/>
    <mergeCell ref="F5:G5"/>
    <mergeCell ref="F6:G6"/>
    <mergeCell ref="F7:G7"/>
  </mergeCells>
  <hyperlinks>
    <hyperlink ref="A1" location="Overview!A1" display="Back to Overview" xr:uid="{34BBF3B8-6F62-4733-A4FC-E64CAD74AD73}"/>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MS,Regular"
&amp;"Trebuchet MS,Bold"Annex 4&amp;"Trebuchet MS,Regular" - Charges applied to LDNOs with HV/LV end users</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4">
    <pageSetUpPr fitToPage="1"/>
  </sheetPr>
  <dimension ref="A1:H31"/>
  <sheetViews>
    <sheetView zoomScale="50" zoomScaleNormal="50" workbookViewId="0">
      <selection activeCell="C16" sqref="C16:H21"/>
    </sheetView>
  </sheetViews>
  <sheetFormatPr defaultColWidth="9.15234375" defaultRowHeight="12.45" x14ac:dyDescent="0.3"/>
  <cols>
    <col min="1" max="1" width="21" style="21" customWidth="1"/>
    <col min="2" max="2" width="3.69140625" style="21" customWidth="1"/>
    <col min="3" max="7" width="24" style="21" customWidth="1"/>
    <col min="8" max="8" width="32.69140625" style="21" customWidth="1"/>
    <col min="9" max="10" width="9.15234375" style="21"/>
    <col min="11" max="11" width="40.3046875" style="21" customWidth="1"/>
    <col min="12" max="16384" width="9.15234375" style="21"/>
  </cols>
  <sheetData>
    <row r="1" spans="1:8" ht="27.75" customHeight="1" x14ac:dyDescent="0.3">
      <c r="A1" s="189" t="s">
        <v>19</v>
      </c>
      <c r="C1" s="190"/>
    </row>
    <row r="2" spans="1:8" ht="40" customHeight="1" x14ac:dyDescent="0.3">
      <c r="A2" s="668" t="s">
        <v>569</v>
      </c>
      <c r="B2" s="668"/>
      <c r="C2" s="668"/>
      <c r="D2" s="668"/>
      <c r="E2" s="668"/>
      <c r="F2" s="668"/>
    </row>
    <row r="3" spans="1:8" ht="47.25" customHeight="1" x14ac:dyDescent="0.3">
      <c r="A3" s="553" t="str">
        <f>Overview!B4&amp;" - Illustrative LLFs in UKPN EPN Area (GSP Group_A) for year beginning "&amp;Overview!D4&amp;""</f>
        <v>Indigo Power Limited - Illustrative LLFs in UKPN EPN Area (GSP Group_A) for year beginning 1 April 2023</v>
      </c>
      <c r="B3" s="653"/>
      <c r="C3" s="653"/>
      <c r="D3" s="653"/>
      <c r="E3" s="653"/>
      <c r="F3" s="653"/>
      <c r="G3" s="654"/>
      <c r="H3" s="99"/>
    </row>
    <row r="4" spans="1:8" ht="19.5" customHeight="1" x14ac:dyDescent="0.3">
      <c r="A4" s="671" t="s">
        <v>13</v>
      </c>
      <c r="B4" s="672"/>
      <c r="C4" s="12" t="s">
        <v>5</v>
      </c>
      <c r="D4" s="12" t="s">
        <v>6</v>
      </c>
      <c r="E4" s="12" t="s">
        <v>7</v>
      </c>
      <c r="F4" s="12" t="s">
        <v>8</v>
      </c>
      <c r="G4" s="12" t="s">
        <v>477</v>
      </c>
      <c r="H4" s="99"/>
    </row>
    <row r="5" spans="1:8" ht="42.75" customHeight="1" x14ac:dyDescent="0.3">
      <c r="A5" s="673"/>
      <c r="B5" s="674"/>
      <c r="C5" s="12"/>
      <c r="D5" s="12"/>
      <c r="E5" s="12"/>
      <c r="F5" s="12"/>
      <c r="G5" s="12"/>
      <c r="H5" s="99"/>
    </row>
    <row r="6" spans="1:8" ht="45" customHeight="1" x14ac:dyDescent="0.3">
      <c r="A6" s="675"/>
      <c r="B6" s="676"/>
      <c r="C6" s="357"/>
      <c r="D6" s="355"/>
      <c r="E6" s="355"/>
      <c r="F6" s="355"/>
      <c r="G6" s="355"/>
      <c r="H6" s="99"/>
    </row>
    <row r="7" spans="1:8" ht="45" customHeight="1" x14ac:dyDescent="0.3">
      <c r="A7" s="675"/>
      <c r="B7" s="676"/>
      <c r="C7" s="355"/>
      <c r="D7" s="357"/>
      <c r="E7" s="355"/>
      <c r="F7" s="355"/>
      <c r="G7" s="355"/>
      <c r="H7" s="99"/>
    </row>
    <row r="8" spans="1:8" ht="45" customHeight="1" x14ac:dyDescent="0.3">
      <c r="A8" s="675"/>
      <c r="B8" s="676"/>
      <c r="C8" s="355"/>
      <c r="D8" s="355"/>
      <c r="E8" s="357"/>
      <c r="F8" s="355"/>
      <c r="G8" s="355"/>
      <c r="H8" s="99"/>
    </row>
    <row r="9" spans="1:8" ht="45" customHeight="1" x14ac:dyDescent="0.3">
      <c r="A9" s="675"/>
      <c r="B9" s="676"/>
      <c r="C9" s="355"/>
      <c r="D9" s="355"/>
      <c r="E9" s="355"/>
      <c r="F9" s="355"/>
      <c r="G9" s="355"/>
      <c r="H9" s="99"/>
    </row>
    <row r="10" spans="1:8" s="193" customFormat="1" ht="23.25" customHeight="1" x14ac:dyDescent="0.3">
      <c r="A10" s="537" t="s">
        <v>14</v>
      </c>
      <c r="B10" s="538"/>
      <c r="C10" s="537" t="s">
        <v>466</v>
      </c>
      <c r="D10" s="546"/>
      <c r="E10" s="546"/>
      <c r="F10" s="546"/>
      <c r="G10" s="538"/>
      <c r="H10" s="89"/>
    </row>
    <row r="11" spans="1:8" s="193" customFormat="1" ht="12.75" customHeight="1" x14ac:dyDescent="0.3">
      <c r="A11" s="194"/>
      <c r="B11" s="194"/>
      <c r="C11" s="194"/>
      <c r="D11" s="194"/>
      <c r="E11" s="194"/>
      <c r="F11" s="194"/>
      <c r="G11" s="194"/>
      <c r="H11" s="89"/>
    </row>
    <row r="12" spans="1:8" ht="12.75" customHeight="1" x14ac:dyDescent="0.3">
      <c r="A12" s="99"/>
      <c r="B12" s="195"/>
      <c r="C12" s="195"/>
      <c r="D12" s="195"/>
      <c r="E12" s="195"/>
      <c r="F12" s="99"/>
      <c r="G12" s="99"/>
      <c r="H12" s="99"/>
    </row>
    <row r="13" spans="1:8" ht="22.5" customHeight="1" x14ac:dyDescent="0.3">
      <c r="A13" s="670" t="s">
        <v>293</v>
      </c>
      <c r="B13" s="670"/>
      <c r="C13" s="670"/>
      <c r="D13" s="670"/>
      <c r="E13" s="670"/>
      <c r="F13" s="670"/>
      <c r="G13" s="670"/>
      <c r="H13" s="670"/>
    </row>
    <row r="14" spans="1:8" ht="22.5" customHeight="1" x14ac:dyDescent="0.3">
      <c r="A14" s="670" t="s">
        <v>4</v>
      </c>
      <c r="B14" s="670"/>
      <c r="C14" s="670"/>
      <c r="D14" s="670"/>
      <c r="E14" s="670"/>
      <c r="F14" s="670"/>
      <c r="G14" s="670"/>
      <c r="H14" s="670"/>
    </row>
    <row r="15" spans="1:8" ht="33" customHeight="1" x14ac:dyDescent="0.3">
      <c r="A15" s="670" t="s">
        <v>294</v>
      </c>
      <c r="B15" s="670"/>
      <c r="C15" s="196" t="s">
        <v>5</v>
      </c>
      <c r="D15" s="196" t="s">
        <v>6</v>
      </c>
      <c r="E15" s="196" t="s">
        <v>7</v>
      </c>
      <c r="F15" s="196" t="s">
        <v>8</v>
      </c>
      <c r="G15" s="196" t="s">
        <v>477</v>
      </c>
      <c r="H15" s="196" t="s">
        <v>9</v>
      </c>
    </row>
    <row r="16" spans="1:8" ht="14.15" customHeight="1" x14ac:dyDescent="0.3">
      <c r="A16" s="669" t="s">
        <v>557</v>
      </c>
      <c r="B16" s="669">
        <v>0</v>
      </c>
      <c r="C16" s="197"/>
      <c r="D16" s="197"/>
      <c r="E16" s="197"/>
      <c r="F16" s="197"/>
      <c r="G16" s="197"/>
      <c r="H16" s="345"/>
    </row>
    <row r="17" spans="1:8" ht="12.75" customHeight="1" x14ac:dyDescent="0.3">
      <c r="A17" s="669" t="s">
        <v>558</v>
      </c>
      <c r="B17" s="669">
        <v>0</v>
      </c>
      <c r="C17" s="197"/>
      <c r="D17" s="197"/>
      <c r="E17" s="197"/>
      <c r="F17" s="197"/>
      <c r="G17" s="197"/>
      <c r="H17" s="345"/>
    </row>
    <row r="18" spans="1:8" x14ac:dyDescent="0.3">
      <c r="A18" s="669" t="s">
        <v>559</v>
      </c>
      <c r="B18" s="669">
        <v>0</v>
      </c>
      <c r="C18" s="197"/>
      <c r="D18" s="197"/>
      <c r="E18" s="197"/>
      <c r="F18" s="197"/>
      <c r="G18" s="197"/>
      <c r="H18" s="345"/>
    </row>
    <row r="19" spans="1:8" ht="12.75" customHeight="1" x14ac:dyDescent="0.3">
      <c r="A19" s="669" t="s">
        <v>560</v>
      </c>
      <c r="B19" s="669">
        <v>0</v>
      </c>
      <c r="C19" s="197"/>
      <c r="D19" s="197"/>
      <c r="E19" s="197"/>
      <c r="F19" s="197"/>
      <c r="G19" s="197"/>
      <c r="H19" s="345"/>
    </row>
    <row r="20" spans="1:8" x14ac:dyDescent="0.3">
      <c r="A20" s="669" t="s">
        <v>567</v>
      </c>
      <c r="B20" s="669">
        <v>0</v>
      </c>
      <c r="C20" s="197"/>
      <c r="D20" s="197"/>
      <c r="E20" s="197"/>
      <c r="F20" s="197"/>
      <c r="G20" s="197"/>
      <c r="H20" s="347"/>
    </row>
    <row r="21" spans="1:8" x14ac:dyDescent="0.3">
      <c r="A21" s="669" t="s">
        <v>568</v>
      </c>
      <c r="B21" s="669">
        <v>0</v>
      </c>
      <c r="C21" s="197"/>
      <c r="D21" s="197"/>
      <c r="E21" s="197"/>
      <c r="F21" s="197"/>
      <c r="G21" s="197"/>
      <c r="H21" s="346"/>
    </row>
    <row r="22" spans="1:8" x14ac:dyDescent="0.3">
      <c r="A22" s="99"/>
      <c r="B22" s="99"/>
      <c r="C22" s="99"/>
      <c r="D22" s="99"/>
      <c r="E22" s="99"/>
      <c r="F22" s="99"/>
      <c r="G22" s="99"/>
      <c r="H22" s="99"/>
    </row>
    <row r="23" spans="1:8" ht="22.5" customHeight="1" x14ac:dyDescent="0.3">
      <c r="A23" s="670" t="s">
        <v>295</v>
      </c>
      <c r="B23" s="670"/>
      <c r="C23" s="670"/>
      <c r="D23" s="670"/>
      <c r="E23" s="670"/>
      <c r="F23" s="670"/>
      <c r="G23" s="670"/>
      <c r="H23" s="670"/>
    </row>
    <row r="24" spans="1:8" ht="22.5" customHeight="1" x14ac:dyDescent="0.3">
      <c r="A24" s="670" t="s">
        <v>11</v>
      </c>
      <c r="B24" s="670"/>
      <c r="C24" s="670"/>
      <c r="D24" s="670"/>
      <c r="E24" s="670"/>
      <c r="F24" s="670"/>
      <c r="G24" s="670"/>
      <c r="H24" s="670"/>
    </row>
    <row r="25" spans="1:8" ht="33" customHeight="1" x14ac:dyDescent="0.3">
      <c r="A25" s="581" t="s">
        <v>10</v>
      </c>
      <c r="B25" s="582"/>
      <c r="C25" s="192" t="s">
        <v>5</v>
      </c>
      <c r="D25" s="192" t="s">
        <v>6</v>
      </c>
      <c r="E25" s="192" t="s">
        <v>7</v>
      </c>
      <c r="F25" s="192" t="s">
        <v>8</v>
      </c>
      <c r="G25" s="192" t="s">
        <v>477</v>
      </c>
      <c r="H25" s="192" t="s">
        <v>9</v>
      </c>
    </row>
    <row r="26" spans="1:8" ht="22.5" customHeight="1" x14ac:dyDescent="0.3">
      <c r="A26" s="198"/>
      <c r="B26" s="199"/>
      <c r="C26" s="197"/>
      <c r="D26" s="197"/>
      <c r="E26" s="197"/>
      <c r="F26" s="197"/>
      <c r="G26" s="197"/>
      <c r="H26" s="200"/>
    </row>
    <row r="27" spans="1:8" ht="12.75" customHeight="1" x14ac:dyDescent="0.3">
      <c r="A27" s="99"/>
      <c r="B27" s="99"/>
      <c r="C27" s="99"/>
      <c r="D27" s="99"/>
      <c r="E27" s="99"/>
      <c r="F27" s="99"/>
      <c r="G27" s="99"/>
      <c r="H27" s="99"/>
    </row>
    <row r="28" spans="1:8" ht="22.5" customHeight="1" x14ac:dyDescent="0.3">
      <c r="A28" s="670" t="s">
        <v>295</v>
      </c>
      <c r="B28" s="670"/>
      <c r="C28" s="670"/>
      <c r="D28" s="670"/>
      <c r="E28" s="670"/>
      <c r="F28" s="670"/>
      <c r="G28" s="670"/>
      <c r="H28" s="670"/>
    </row>
    <row r="29" spans="1:8" ht="22.5" customHeight="1" x14ac:dyDescent="0.3">
      <c r="A29" s="670" t="s">
        <v>12</v>
      </c>
      <c r="B29" s="670"/>
      <c r="C29" s="670"/>
      <c r="D29" s="670"/>
      <c r="E29" s="670"/>
      <c r="F29" s="670"/>
      <c r="G29" s="670"/>
      <c r="H29" s="670"/>
    </row>
    <row r="30" spans="1:8" ht="33" customHeight="1" x14ac:dyDescent="0.3">
      <c r="A30" s="581" t="s">
        <v>10</v>
      </c>
      <c r="B30" s="582"/>
      <c r="C30" s="192" t="s">
        <v>5</v>
      </c>
      <c r="D30" s="192" t="s">
        <v>6</v>
      </c>
      <c r="E30" s="192" t="s">
        <v>7</v>
      </c>
      <c r="F30" s="192" t="s">
        <v>8</v>
      </c>
      <c r="G30" s="192" t="s">
        <v>477</v>
      </c>
      <c r="H30" s="192" t="s">
        <v>9</v>
      </c>
    </row>
    <row r="31" spans="1:8" ht="22.5" customHeight="1" x14ac:dyDescent="0.3">
      <c r="A31" s="198"/>
      <c r="B31" s="199"/>
      <c r="C31" s="197"/>
      <c r="D31" s="197"/>
      <c r="E31" s="197"/>
      <c r="F31" s="197"/>
      <c r="G31" s="197"/>
      <c r="H31" s="114"/>
    </row>
  </sheetData>
  <mergeCells count="24">
    <mergeCell ref="C10:G10"/>
    <mergeCell ref="A13:H13"/>
    <mergeCell ref="A14:H14"/>
    <mergeCell ref="A6:B6"/>
    <mergeCell ref="A7:B7"/>
    <mergeCell ref="A8:B8"/>
    <mergeCell ref="A9:B9"/>
    <mergeCell ref="A10:B10"/>
    <mergeCell ref="A2:F2"/>
    <mergeCell ref="A21:B21"/>
    <mergeCell ref="A30:B30"/>
    <mergeCell ref="A16:B16"/>
    <mergeCell ref="A17:B17"/>
    <mergeCell ref="A18:B18"/>
    <mergeCell ref="A19:B19"/>
    <mergeCell ref="A20:B20"/>
    <mergeCell ref="A23:H23"/>
    <mergeCell ref="A24:H24"/>
    <mergeCell ref="A25:B25"/>
    <mergeCell ref="A28:H28"/>
    <mergeCell ref="A29:H29"/>
    <mergeCell ref="A15:B15"/>
    <mergeCell ref="A3:G3"/>
    <mergeCell ref="A4:B5"/>
  </mergeCells>
  <hyperlinks>
    <hyperlink ref="A1" location="Overview!A1" display="Back to Overview" xr:uid="{00000000-0004-0000-1900-000000000000}"/>
  </hyperlinks>
  <pageMargins left="0.70866141732283472" right="0.70866141732283472" top="0.74803149606299213" bottom="0.74803149606299213" header="0.31496062992125984" footer="0.31496062992125984"/>
  <pageSetup paperSize="8" scale="83"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pageSetUpPr fitToPage="1"/>
  </sheetPr>
  <dimension ref="A1:F32"/>
  <sheetViews>
    <sheetView zoomScale="50" zoomScaleNormal="50" workbookViewId="0">
      <selection activeCell="B20" sqref="B20"/>
    </sheetView>
  </sheetViews>
  <sheetFormatPr defaultColWidth="9.15234375" defaultRowHeight="12.45" x14ac:dyDescent="0.3"/>
  <cols>
    <col min="1" max="6" width="24" style="21" customWidth="1"/>
    <col min="7" max="16384" width="9.15234375" style="21"/>
  </cols>
  <sheetData>
    <row r="1" spans="1:6" ht="27.75" customHeight="1" x14ac:dyDescent="0.3">
      <c r="A1" s="189" t="s">
        <v>19</v>
      </c>
      <c r="C1" s="190"/>
    </row>
    <row r="2" spans="1:6" ht="40" customHeight="1" x14ac:dyDescent="0.3">
      <c r="A2" s="668" t="s">
        <v>569</v>
      </c>
      <c r="B2" s="668"/>
      <c r="C2" s="668"/>
      <c r="D2" s="668"/>
      <c r="E2" s="668"/>
      <c r="F2" s="668"/>
    </row>
    <row r="3" spans="1:6" ht="47.25" customHeight="1" x14ac:dyDescent="0.3">
      <c r="A3" s="553" t="str">
        <f>Overview!B4&amp;" - Illustrative LLFs in WPD EM Area (GSP Group_B) for year beginning "&amp;Overview!D4&amp;""</f>
        <v>Indigo Power Limited - Illustrative LLFs in WPD EM Area (GSP Group_B) for year beginning 1 April 2023</v>
      </c>
      <c r="B3" s="653"/>
      <c r="C3" s="653"/>
      <c r="D3" s="653"/>
      <c r="E3" s="654"/>
    </row>
    <row r="4" spans="1:6" ht="19.5" customHeight="1" x14ac:dyDescent="0.3">
      <c r="A4" s="678" t="s">
        <v>13</v>
      </c>
      <c r="B4" s="12" t="s">
        <v>5</v>
      </c>
      <c r="C4" s="12" t="s">
        <v>6</v>
      </c>
      <c r="D4" s="12" t="s">
        <v>7</v>
      </c>
      <c r="E4" s="12" t="s">
        <v>8</v>
      </c>
    </row>
    <row r="5" spans="1:6" ht="39" customHeight="1" x14ac:dyDescent="0.3">
      <c r="A5" s="679"/>
      <c r="B5" s="12"/>
      <c r="C5" s="12"/>
      <c r="D5" s="12"/>
      <c r="E5" s="12"/>
    </row>
    <row r="6" spans="1:6" ht="45" customHeight="1" x14ac:dyDescent="0.3">
      <c r="A6" s="287"/>
      <c r="B6" s="287"/>
      <c r="C6" s="287"/>
      <c r="D6" s="287"/>
      <c r="E6" s="287"/>
    </row>
    <row r="7" spans="1:6" ht="45" customHeight="1" x14ac:dyDescent="0.3">
      <c r="A7" s="287"/>
      <c r="B7" s="287"/>
      <c r="C7" s="287"/>
      <c r="D7" s="287"/>
      <c r="E7" s="287"/>
    </row>
    <row r="8" spans="1:6" ht="45" customHeight="1" x14ac:dyDescent="0.3">
      <c r="A8" s="287"/>
      <c r="B8" s="287"/>
      <c r="C8" s="287"/>
      <c r="D8" s="287"/>
      <c r="E8" s="287"/>
    </row>
    <row r="9" spans="1:6" ht="25.5" customHeight="1" x14ac:dyDescent="0.3">
      <c r="A9" s="288" t="s">
        <v>14</v>
      </c>
      <c r="B9" s="680" t="s">
        <v>15</v>
      </c>
      <c r="C9" s="681"/>
      <c r="D9" s="681"/>
      <c r="E9" s="682"/>
    </row>
    <row r="10" spans="1:6" s="193" customFormat="1" ht="12.75" customHeight="1" x14ac:dyDescent="0.3">
      <c r="A10" s="204"/>
      <c r="B10" s="205"/>
      <c r="C10" s="205"/>
      <c r="D10" s="205"/>
      <c r="E10" s="205"/>
    </row>
    <row r="11" spans="1:6" ht="12.75" customHeight="1" x14ac:dyDescent="0.3">
      <c r="A11" s="206"/>
      <c r="B11" s="205"/>
      <c r="C11" s="205"/>
      <c r="D11" s="205"/>
      <c r="E11" s="205"/>
    </row>
    <row r="12" spans="1:6" ht="22.5" customHeight="1" x14ac:dyDescent="0.3">
      <c r="A12" s="581" t="s">
        <v>478</v>
      </c>
      <c r="B12" s="677"/>
      <c r="C12" s="677"/>
      <c r="D12" s="677"/>
      <c r="E12" s="677"/>
      <c r="F12" s="582"/>
    </row>
    <row r="13" spans="1:6" ht="22.5" customHeight="1" x14ac:dyDescent="0.3">
      <c r="A13" s="581" t="s">
        <v>4</v>
      </c>
      <c r="B13" s="677"/>
      <c r="C13" s="677"/>
      <c r="D13" s="677"/>
      <c r="E13" s="677"/>
      <c r="F13" s="582"/>
    </row>
    <row r="14" spans="1:6" ht="33" customHeight="1" x14ac:dyDescent="0.3">
      <c r="A14" s="192" t="s">
        <v>479</v>
      </c>
      <c r="B14" s="192" t="s">
        <v>5</v>
      </c>
      <c r="C14" s="192" t="s">
        <v>6</v>
      </c>
      <c r="D14" s="192" t="s">
        <v>7</v>
      </c>
      <c r="E14" s="192" t="s">
        <v>8</v>
      </c>
      <c r="F14" s="192" t="s">
        <v>9</v>
      </c>
    </row>
    <row r="15" spans="1:6" x14ac:dyDescent="0.3">
      <c r="A15" s="207" t="s">
        <v>556</v>
      </c>
      <c r="B15" s="197"/>
      <c r="C15" s="197"/>
      <c r="D15" s="197"/>
      <c r="E15" s="197"/>
      <c r="F15" s="347"/>
    </row>
    <row r="16" spans="1:6" x14ac:dyDescent="0.3">
      <c r="A16" s="207" t="s">
        <v>620</v>
      </c>
      <c r="B16" s="197"/>
      <c r="C16" s="197"/>
      <c r="D16" s="197"/>
      <c r="E16" s="197"/>
    </row>
    <row r="17" spans="1:6" x14ac:dyDescent="0.3">
      <c r="A17" s="207" t="s">
        <v>560</v>
      </c>
      <c r="B17" s="197"/>
      <c r="C17" s="197"/>
      <c r="D17" s="197"/>
      <c r="E17" s="197"/>
      <c r="F17" s="345"/>
    </row>
    <row r="18" spans="1:6" x14ac:dyDescent="0.3">
      <c r="A18" s="207" t="s">
        <v>559</v>
      </c>
      <c r="B18" s="197"/>
      <c r="C18" s="197"/>
      <c r="D18" s="197"/>
      <c r="E18" s="197"/>
      <c r="F18" s="345"/>
    </row>
    <row r="19" spans="1:6" x14ac:dyDescent="0.3">
      <c r="A19" s="207" t="s">
        <v>558</v>
      </c>
      <c r="B19" s="197"/>
      <c r="C19" s="197"/>
      <c r="D19" s="197"/>
      <c r="E19" s="197"/>
      <c r="F19" s="345"/>
    </row>
    <row r="20" spans="1:6" ht="92.7" customHeight="1" x14ac:dyDescent="0.3">
      <c r="A20" s="207" t="s">
        <v>557</v>
      </c>
      <c r="B20" s="197"/>
      <c r="C20" s="197"/>
      <c r="D20" s="197"/>
      <c r="E20" s="197"/>
      <c r="F20" s="393"/>
    </row>
    <row r="22" spans="1:6" x14ac:dyDescent="0.3">
      <c r="A22" s="581" t="s">
        <v>295</v>
      </c>
      <c r="B22" s="677"/>
      <c r="C22" s="677"/>
      <c r="D22" s="677"/>
      <c r="E22" s="677"/>
      <c r="F22" s="582"/>
    </row>
    <row r="23" spans="1:6" x14ac:dyDescent="0.3">
      <c r="A23" s="581" t="s">
        <v>11</v>
      </c>
      <c r="B23" s="677"/>
      <c r="C23" s="677"/>
      <c r="D23" s="677"/>
      <c r="E23" s="677"/>
      <c r="F23" s="582"/>
    </row>
    <row r="24" spans="1:6" ht="22.5" customHeight="1" x14ac:dyDescent="0.3">
      <c r="A24" s="192" t="s">
        <v>10</v>
      </c>
      <c r="B24" s="192" t="s">
        <v>5</v>
      </c>
      <c r="C24" s="192" t="s">
        <v>6</v>
      </c>
      <c r="D24" s="192" t="s">
        <v>7</v>
      </c>
      <c r="E24" s="192" t="s">
        <v>8</v>
      </c>
      <c r="F24" s="192" t="s">
        <v>9</v>
      </c>
    </row>
    <row r="25" spans="1:6" ht="22.5" customHeight="1" x14ac:dyDescent="0.3">
      <c r="A25" s="208"/>
      <c r="B25" s="197"/>
      <c r="C25" s="197"/>
      <c r="D25" s="197"/>
      <c r="E25" s="197"/>
      <c r="F25" s="209"/>
    </row>
    <row r="26" spans="1:6" ht="33" customHeight="1" x14ac:dyDescent="0.3"/>
    <row r="27" spans="1:6" ht="22.5" customHeight="1" x14ac:dyDescent="0.3">
      <c r="A27" s="581" t="s">
        <v>295</v>
      </c>
      <c r="B27" s="677"/>
      <c r="C27" s="677"/>
      <c r="D27" s="677"/>
      <c r="E27" s="677"/>
      <c r="F27" s="582"/>
    </row>
    <row r="28" spans="1:6" ht="12.75" customHeight="1" x14ac:dyDescent="0.3">
      <c r="A28" s="581" t="s">
        <v>12</v>
      </c>
      <c r="B28" s="677"/>
      <c r="C28" s="677"/>
      <c r="D28" s="677"/>
      <c r="E28" s="677"/>
      <c r="F28" s="582"/>
    </row>
    <row r="29" spans="1:6" ht="22.5" customHeight="1" x14ac:dyDescent="0.3">
      <c r="A29" s="192" t="s">
        <v>10</v>
      </c>
      <c r="B29" s="192" t="s">
        <v>5</v>
      </c>
      <c r="C29" s="192" t="s">
        <v>6</v>
      </c>
      <c r="D29" s="192" t="s">
        <v>7</v>
      </c>
      <c r="E29" s="192" t="s">
        <v>8</v>
      </c>
      <c r="F29" s="192" t="s">
        <v>9</v>
      </c>
    </row>
    <row r="30" spans="1:6" ht="22.5" customHeight="1" x14ac:dyDescent="0.3">
      <c r="A30" s="207"/>
      <c r="B30" s="197"/>
      <c r="C30" s="197"/>
      <c r="D30" s="197"/>
      <c r="E30" s="197"/>
      <c r="F30" s="209"/>
    </row>
    <row r="31" spans="1:6" ht="33" customHeight="1" x14ac:dyDescent="0.3"/>
    <row r="32" spans="1:6" ht="22.5" customHeight="1" x14ac:dyDescent="0.3">
      <c r="B32" s="21" t="s">
        <v>716</v>
      </c>
    </row>
  </sheetData>
  <mergeCells count="10">
    <mergeCell ref="A2:F2"/>
    <mergeCell ref="A22:F22"/>
    <mergeCell ref="A23:F23"/>
    <mergeCell ref="A27:F27"/>
    <mergeCell ref="A28:F28"/>
    <mergeCell ref="A3:E3"/>
    <mergeCell ref="A4:A5"/>
    <mergeCell ref="B9:E9"/>
    <mergeCell ref="A12:F12"/>
    <mergeCell ref="A13:F13"/>
  </mergeCells>
  <hyperlinks>
    <hyperlink ref="A1" location="Overview!A1" display="Back to Overview" xr:uid="{00000000-0004-0000-1A00-000000000000}"/>
  </hyperlinks>
  <pageMargins left="0.70866141732283472" right="0.70866141732283472" top="0.74803149606299213" bottom="0.74803149606299213" header="0.31496062992125984" footer="0.31496062992125984"/>
  <pageSetup paperSize="8" scale="84"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6">
    <pageSetUpPr fitToPage="1"/>
  </sheetPr>
  <dimension ref="A1:XFC31"/>
  <sheetViews>
    <sheetView zoomScale="50" zoomScaleNormal="50" workbookViewId="0">
      <selection activeCell="A29" sqref="A29:G29"/>
    </sheetView>
  </sheetViews>
  <sheetFormatPr defaultColWidth="9.15234375" defaultRowHeight="12.45" x14ac:dyDescent="0.3"/>
  <cols>
    <col min="1" max="1" width="23.84375" style="99" bestFit="1" customWidth="1"/>
    <col min="2" max="7" width="24" style="99" customWidth="1"/>
    <col min="8" max="16384" width="9.15234375" style="99"/>
  </cols>
  <sheetData>
    <row r="1" spans="1:16383" s="100" customFormat="1" ht="27.75" customHeight="1" x14ac:dyDescent="0.3">
      <c r="A1" s="210" t="s">
        <v>19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row>
    <row r="2" spans="1:16383" s="21" customFormat="1" ht="40" customHeight="1" x14ac:dyDescent="0.3">
      <c r="A2" s="668" t="s">
        <v>569</v>
      </c>
      <c r="B2" s="668"/>
      <c r="C2" s="668"/>
      <c r="D2" s="668"/>
      <c r="E2" s="668"/>
      <c r="F2" s="668"/>
    </row>
    <row r="3" spans="1:16383" ht="47.25" customHeight="1" x14ac:dyDescent="0.3">
      <c r="A3" s="553" t="str">
        <f>Overview!B4&amp;" - Illustrative LLFs in UKPN LPN Area (GSP Group_C) for year beginning "&amp;Overview!D4&amp;""</f>
        <v>Indigo Power Limited - Illustrative LLFs in UKPN LPN Area (GSP Group_C) for year beginning 1 April 2023</v>
      </c>
      <c r="B3" s="653"/>
      <c r="C3" s="653"/>
      <c r="D3" s="653"/>
      <c r="E3" s="653"/>
      <c r="F3" s="654"/>
    </row>
    <row r="4" spans="1:16383" ht="19.5" customHeight="1" x14ac:dyDescent="0.3">
      <c r="A4" s="671" t="s">
        <v>13</v>
      </c>
      <c r="B4" s="12" t="s">
        <v>5</v>
      </c>
      <c r="C4" s="12" t="s">
        <v>6</v>
      </c>
      <c r="D4" s="12" t="s">
        <v>7</v>
      </c>
      <c r="E4" s="12" t="s">
        <v>8</v>
      </c>
      <c r="F4" s="12" t="s">
        <v>477</v>
      </c>
    </row>
    <row r="5" spans="1:16383" ht="49.5" customHeight="1" x14ac:dyDescent="0.3">
      <c r="A5" s="673"/>
      <c r="B5" s="12"/>
      <c r="C5" s="12"/>
      <c r="D5" s="12"/>
      <c r="E5" s="12"/>
      <c r="F5" s="12"/>
    </row>
    <row r="6" spans="1:16383" ht="45" customHeight="1" x14ac:dyDescent="0.3">
      <c r="A6" s="358"/>
      <c r="B6" s="357"/>
      <c r="C6" s="355"/>
      <c r="D6" s="355"/>
      <c r="E6" s="355"/>
      <c r="F6" s="355"/>
    </row>
    <row r="7" spans="1:16383" ht="45" customHeight="1" x14ac:dyDescent="0.3">
      <c r="A7" s="358"/>
      <c r="B7" s="355"/>
      <c r="C7" s="357"/>
      <c r="D7" s="355"/>
      <c r="E7" s="355"/>
      <c r="F7" s="355"/>
    </row>
    <row r="8" spans="1:16383" ht="45" customHeight="1" x14ac:dyDescent="0.3">
      <c r="A8" s="358"/>
      <c r="B8" s="355"/>
      <c r="C8" s="355"/>
      <c r="D8" s="357"/>
      <c r="E8" s="355"/>
      <c r="F8" s="355"/>
    </row>
    <row r="9" spans="1:16383" ht="45" customHeight="1" x14ac:dyDescent="0.3">
      <c r="A9" s="358"/>
      <c r="B9" s="355"/>
      <c r="C9" s="355"/>
      <c r="D9" s="355"/>
      <c r="E9" s="355"/>
      <c r="F9" s="355"/>
    </row>
    <row r="10" spans="1:16383" s="89" customFormat="1" ht="27" customHeight="1" x14ac:dyDescent="0.3">
      <c r="A10" s="319" t="s">
        <v>14</v>
      </c>
      <c r="B10" s="537" t="s">
        <v>466</v>
      </c>
      <c r="C10" s="546"/>
      <c r="D10" s="546"/>
      <c r="E10" s="546"/>
      <c r="F10" s="538"/>
    </row>
    <row r="11" spans="1:16383" s="89" customFormat="1" ht="12.75" customHeight="1" x14ac:dyDescent="0.3">
      <c r="A11" s="194"/>
      <c r="B11" s="194"/>
      <c r="C11" s="194"/>
      <c r="D11" s="194"/>
      <c r="E11" s="194"/>
      <c r="F11" s="194"/>
    </row>
    <row r="12" spans="1:16383" ht="12.75" customHeight="1" x14ac:dyDescent="0.3">
      <c r="B12" s="195"/>
      <c r="C12" s="195"/>
      <c r="D12" s="195"/>
    </row>
    <row r="13" spans="1:16383" ht="22.5" customHeight="1" x14ac:dyDescent="0.3">
      <c r="A13" s="670" t="s">
        <v>293</v>
      </c>
      <c r="B13" s="670"/>
      <c r="C13" s="670"/>
      <c r="D13" s="670"/>
      <c r="E13" s="670"/>
      <c r="F13" s="670"/>
      <c r="G13" s="670"/>
    </row>
    <row r="14" spans="1:16383" ht="22.5" customHeight="1" x14ac:dyDescent="0.3">
      <c r="A14" s="670" t="s">
        <v>4</v>
      </c>
      <c r="B14" s="670"/>
      <c r="C14" s="670"/>
      <c r="D14" s="670"/>
      <c r="E14" s="670"/>
      <c r="F14" s="670"/>
      <c r="G14" s="670"/>
    </row>
    <row r="15" spans="1:16383" ht="33" customHeight="1" x14ac:dyDescent="0.3">
      <c r="A15" s="321" t="s">
        <v>294</v>
      </c>
      <c r="B15" s="196" t="s">
        <v>5</v>
      </c>
      <c r="C15" s="196" t="s">
        <v>6</v>
      </c>
      <c r="D15" s="196" t="s">
        <v>7</v>
      </c>
      <c r="E15" s="196" t="s">
        <v>8</v>
      </c>
      <c r="F15" s="196" t="s">
        <v>477</v>
      </c>
      <c r="G15" s="196" t="s">
        <v>9</v>
      </c>
    </row>
    <row r="16" spans="1:16383" ht="119.7" customHeight="1" x14ac:dyDescent="0.3">
      <c r="A16" s="322" t="s">
        <v>550</v>
      </c>
      <c r="B16" s="343">
        <v>1.099</v>
      </c>
      <c r="C16" s="343">
        <v>1.0820000000000001</v>
      </c>
      <c r="D16" s="343">
        <v>1.0920000000000001</v>
      </c>
      <c r="E16" s="343">
        <v>1.0649999999999999</v>
      </c>
      <c r="F16" s="343">
        <v>1.08</v>
      </c>
      <c r="G16" s="345" t="s">
        <v>480</v>
      </c>
    </row>
    <row r="17" spans="1:7" x14ac:dyDescent="0.3">
      <c r="A17" s="322" t="s">
        <v>551</v>
      </c>
      <c r="B17" s="343">
        <v>1.0629999999999999</v>
      </c>
      <c r="C17" s="343">
        <v>1.054</v>
      </c>
      <c r="D17" s="343">
        <v>1.0589999999999999</v>
      </c>
      <c r="E17" s="343">
        <v>1.044</v>
      </c>
      <c r="F17" s="343">
        <v>1.052</v>
      </c>
      <c r="G17" s="345" t="s">
        <v>480</v>
      </c>
    </row>
    <row r="18" spans="1:7" x14ac:dyDescent="0.3">
      <c r="A18" s="322" t="s">
        <v>552</v>
      </c>
      <c r="B18" s="343">
        <v>1.038</v>
      </c>
      <c r="C18" s="343">
        <v>1.034</v>
      </c>
      <c r="D18" s="343">
        <v>1.036</v>
      </c>
      <c r="E18" s="343">
        <v>1.026</v>
      </c>
      <c r="F18" s="343">
        <v>1.032</v>
      </c>
      <c r="G18" s="345" t="s">
        <v>480</v>
      </c>
    </row>
    <row r="19" spans="1:7" x14ac:dyDescent="0.3">
      <c r="A19" s="322" t="s">
        <v>553</v>
      </c>
      <c r="B19" s="343">
        <v>1.032</v>
      </c>
      <c r="C19" s="343">
        <v>1.0289999999999999</v>
      </c>
      <c r="D19" s="343">
        <v>1.0309999999999999</v>
      </c>
      <c r="E19" s="343">
        <v>1.026</v>
      </c>
      <c r="F19" s="343">
        <v>1.0289999999999999</v>
      </c>
      <c r="G19" s="345" t="s">
        <v>603</v>
      </c>
    </row>
    <row r="20" spans="1:7" x14ac:dyDescent="0.3">
      <c r="A20" s="322" t="s">
        <v>554</v>
      </c>
      <c r="B20" s="343">
        <v>1.0229999999999999</v>
      </c>
      <c r="C20" s="343">
        <v>1.0209999999999999</v>
      </c>
      <c r="D20" s="343">
        <v>1.0229999999999999</v>
      </c>
      <c r="E20" s="343">
        <v>1.018</v>
      </c>
      <c r="F20" s="343">
        <v>1.0209999999999999</v>
      </c>
      <c r="G20" s="345" t="s">
        <v>480</v>
      </c>
    </row>
    <row r="21" spans="1:7" x14ac:dyDescent="0.3">
      <c r="A21" s="322" t="s">
        <v>556</v>
      </c>
      <c r="B21" s="343">
        <v>1.0029999999999999</v>
      </c>
      <c r="C21" s="343">
        <v>1.002</v>
      </c>
      <c r="D21" s="343">
        <v>1.002</v>
      </c>
      <c r="E21" s="343">
        <v>1.002</v>
      </c>
      <c r="F21" s="343">
        <v>1.002</v>
      </c>
      <c r="G21" s="345"/>
    </row>
    <row r="22" spans="1:7" ht="12.75" customHeight="1" x14ac:dyDescent="0.3"/>
    <row r="23" spans="1:7" ht="22.5" customHeight="1" x14ac:dyDescent="0.3">
      <c r="A23" s="670" t="s">
        <v>295</v>
      </c>
      <c r="B23" s="670"/>
      <c r="C23" s="670"/>
      <c r="D23" s="670"/>
      <c r="E23" s="670"/>
      <c r="F23" s="670"/>
      <c r="G23" s="670"/>
    </row>
    <row r="24" spans="1:7" ht="22.5" customHeight="1" x14ac:dyDescent="0.3">
      <c r="A24" s="670" t="s">
        <v>11</v>
      </c>
      <c r="B24" s="670"/>
      <c r="C24" s="670"/>
      <c r="D24" s="670"/>
      <c r="E24" s="670"/>
      <c r="F24" s="670"/>
      <c r="G24" s="670"/>
    </row>
    <row r="25" spans="1:7" ht="33" customHeight="1" x14ac:dyDescent="0.3">
      <c r="A25" s="320" t="s">
        <v>10</v>
      </c>
      <c r="B25" s="192" t="s">
        <v>5</v>
      </c>
      <c r="C25" s="192" t="s">
        <v>6</v>
      </c>
      <c r="D25" s="192" t="s">
        <v>7</v>
      </c>
      <c r="E25" s="192" t="s">
        <v>8</v>
      </c>
      <c r="F25" s="192" t="s">
        <v>477</v>
      </c>
      <c r="G25" s="192" t="s">
        <v>9</v>
      </c>
    </row>
    <row r="26" spans="1:7" ht="22.5" customHeight="1" x14ac:dyDescent="0.3">
      <c r="A26" s="198"/>
      <c r="B26" s="197"/>
      <c r="C26" s="197"/>
      <c r="D26" s="197"/>
      <c r="E26" s="197"/>
      <c r="F26" s="197"/>
      <c r="G26" s="114"/>
    </row>
    <row r="27" spans="1:7" ht="12.75" customHeight="1" x14ac:dyDescent="0.3"/>
    <row r="28" spans="1:7" ht="22.5" customHeight="1" x14ac:dyDescent="0.3">
      <c r="A28" s="670" t="s">
        <v>295</v>
      </c>
      <c r="B28" s="670"/>
      <c r="C28" s="670"/>
      <c r="D28" s="670"/>
      <c r="E28" s="670"/>
      <c r="F28" s="670"/>
      <c r="G28" s="670"/>
    </row>
    <row r="29" spans="1:7" ht="22.5" customHeight="1" x14ac:dyDescent="0.3">
      <c r="A29" s="670" t="s">
        <v>12</v>
      </c>
      <c r="B29" s="670"/>
      <c r="C29" s="670"/>
      <c r="D29" s="670"/>
      <c r="E29" s="670"/>
      <c r="F29" s="670"/>
      <c r="G29" s="670"/>
    </row>
    <row r="30" spans="1:7" ht="33" customHeight="1" x14ac:dyDescent="0.3">
      <c r="A30" s="320" t="s">
        <v>10</v>
      </c>
      <c r="B30" s="192" t="s">
        <v>5</v>
      </c>
      <c r="C30" s="192" t="s">
        <v>6</v>
      </c>
      <c r="D30" s="192" t="s">
        <v>7</v>
      </c>
      <c r="E30" s="192" t="s">
        <v>8</v>
      </c>
      <c r="F30" s="192" t="s">
        <v>477</v>
      </c>
      <c r="G30" s="192" t="s">
        <v>9</v>
      </c>
    </row>
    <row r="31" spans="1:7" ht="22.5" customHeight="1" x14ac:dyDescent="0.3">
      <c r="A31" s="198"/>
      <c r="B31" s="197"/>
      <c r="C31" s="197"/>
      <c r="D31" s="197"/>
      <c r="E31" s="197"/>
      <c r="F31" s="197"/>
      <c r="G31" s="114"/>
    </row>
  </sheetData>
  <mergeCells count="10">
    <mergeCell ref="A2:F2"/>
    <mergeCell ref="A23:G23"/>
    <mergeCell ref="A24:G24"/>
    <mergeCell ref="A28:G28"/>
    <mergeCell ref="A29:G29"/>
    <mergeCell ref="A3:F3"/>
    <mergeCell ref="A4:A5"/>
    <mergeCell ref="B10:F10"/>
    <mergeCell ref="A13:G13"/>
    <mergeCell ref="A14:G14"/>
  </mergeCells>
  <hyperlinks>
    <hyperlink ref="A1" location="Overview!A1" display="Back to Overview" xr:uid="{00000000-0004-0000-1B00-000000000000}"/>
  </hyperlinks>
  <pageMargins left="0.70866141732283472" right="0.70866141732283472" top="0.74803149606299213" bottom="0.74803149606299213" header="0.31496062992125984" footer="0.31496062992125984"/>
  <pageSetup paperSize="9" scale="48" fitToHeight="0" orientation="portrait" r:id="rId1"/>
  <headerFooter differentFirst="1" scaleWithDoc="0">
    <oddHeader>&amp;LAnnex 5 – Line Loss Factors</oddHeader>
    <oddFooter>&amp;C&amp;P of &amp;N</oddFooter>
    <firstHeader>&amp;L
Annex 5 – Schedule of Line Loss Factors</firstHeader>
    <firstFooter>&amp;C&amp;P of &amp;N</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7">
    <pageSetUpPr fitToPage="1"/>
  </sheetPr>
  <dimension ref="A1:G36"/>
  <sheetViews>
    <sheetView zoomScale="50" zoomScaleNormal="50" workbookViewId="0"/>
  </sheetViews>
  <sheetFormatPr defaultColWidth="9.15234375" defaultRowHeight="12.45" x14ac:dyDescent="0.3"/>
  <cols>
    <col min="1" max="6" width="24" style="21" customWidth="1"/>
    <col min="7" max="16384" width="9.15234375" style="21"/>
  </cols>
  <sheetData>
    <row r="1" spans="1:6" ht="27.75" customHeight="1" x14ac:dyDescent="0.3">
      <c r="A1" s="189" t="s">
        <v>19</v>
      </c>
      <c r="C1" s="190"/>
    </row>
    <row r="2" spans="1:6" ht="40" customHeight="1" x14ac:dyDescent="0.3">
      <c r="A2" s="668" t="s">
        <v>569</v>
      </c>
      <c r="B2" s="668"/>
      <c r="C2" s="668"/>
      <c r="D2" s="668"/>
      <c r="E2" s="668"/>
      <c r="F2" s="668"/>
    </row>
    <row r="3" spans="1:6" ht="47.25" customHeight="1" x14ac:dyDescent="0.3">
      <c r="A3" s="553" t="str">
        <f>Overview!B4&amp;" - Illustrative LLFs in SP Manweb Area (GSP Group_D) for year beginning "&amp;Overview!D4&amp;""</f>
        <v>Indigo Power Limited - Illustrative LLFs in SP Manweb Area (GSP Group_D) for year beginning 1 April 2023</v>
      </c>
      <c r="B3" s="653"/>
      <c r="C3" s="653"/>
      <c r="D3" s="653"/>
      <c r="E3" s="654"/>
    </row>
    <row r="4" spans="1:6" ht="19.5" customHeight="1" x14ac:dyDescent="0.3">
      <c r="A4" s="683" t="s">
        <v>13</v>
      </c>
      <c r="B4" s="192" t="s">
        <v>5</v>
      </c>
      <c r="C4" s="192" t="s">
        <v>6</v>
      </c>
      <c r="D4" s="192" t="s">
        <v>7</v>
      </c>
      <c r="E4" s="192" t="s">
        <v>8</v>
      </c>
    </row>
    <row r="5" spans="1:6" ht="40.5" customHeight="1" x14ac:dyDescent="0.3">
      <c r="A5" s="684"/>
      <c r="B5" s="192"/>
      <c r="C5" s="192"/>
      <c r="D5" s="192"/>
      <c r="E5" s="192"/>
    </row>
    <row r="6" spans="1:6" ht="45" customHeight="1" x14ac:dyDescent="0.3">
      <c r="A6" s="359"/>
      <c r="B6" s="361"/>
      <c r="C6" s="361"/>
      <c r="D6" s="96"/>
      <c r="E6" s="96"/>
    </row>
    <row r="7" spans="1:6" ht="45" customHeight="1" x14ac:dyDescent="0.3">
      <c r="A7" s="359"/>
      <c r="B7" s="361"/>
      <c r="C7" s="361"/>
      <c r="D7" s="362"/>
      <c r="E7" s="361"/>
    </row>
    <row r="8" spans="1:6" ht="45" customHeight="1" x14ac:dyDescent="0.3">
      <c r="A8" s="359"/>
      <c r="B8" s="361"/>
      <c r="C8" s="361"/>
      <c r="D8" s="96"/>
      <c r="E8" s="96"/>
    </row>
    <row r="9" spans="1:6" ht="25.5" customHeight="1" x14ac:dyDescent="0.3">
      <c r="A9" s="170" t="s">
        <v>14</v>
      </c>
      <c r="B9" s="685" t="s">
        <v>15</v>
      </c>
      <c r="C9" s="686"/>
      <c r="D9" s="686"/>
      <c r="E9" s="687"/>
    </row>
    <row r="10" spans="1:6" s="193" customFormat="1" ht="12.75" customHeight="1" x14ac:dyDescent="0.3">
      <c r="A10" s="204"/>
      <c r="B10" s="205"/>
      <c r="C10" s="205"/>
      <c r="D10" s="205"/>
      <c r="E10" s="205"/>
    </row>
    <row r="11" spans="1:6" ht="12.75" customHeight="1" x14ac:dyDescent="0.3">
      <c r="B11" s="205"/>
      <c r="C11" s="205"/>
      <c r="D11" s="205"/>
      <c r="E11" s="205"/>
    </row>
    <row r="12" spans="1:6" ht="22.5" customHeight="1" x14ac:dyDescent="0.3">
      <c r="A12" s="581" t="s">
        <v>293</v>
      </c>
      <c r="B12" s="677"/>
      <c r="C12" s="677"/>
      <c r="D12" s="677"/>
      <c r="E12" s="677"/>
      <c r="F12" s="582"/>
    </row>
    <row r="13" spans="1:6" ht="22.5" customHeight="1" x14ac:dyDescent="0.3">
      <c r="A13" s="581" t="s">
        <v>4</v>
      </c>
      <c r="B13" s="677"/>
      <c r="C13" s="677"/>
      <c r="D13" s="677"/>
      <c r="E13" s="677"/>
      <c r="F13" s="582"/>
    </row>
    <row r="14" spans="1:6" ht="33" customHeight="1" x14ac:dyDescent="0.3">
      <c r="A14" s="192" t="s">
        <v>294</v>
      </c>
      <c r="B14" s="192" t="s">
        <v>5</v>
      </c>
      <c r="C14" s="192" t="s">
        <v>6</v>
      </c>
      <c r="D14" s="192" t="s">
        <v>7</v>
      </c>
      <c r="E14" s="192" t="s">
        <v>8</v>
      </c>
      <c r="F14" s="192" t="s">
        <v>9</v>
      </c>
    </row>
    <row r="15" spans="1:6" x14ac:dyDescent="0.3">
      <c r="A15" s="207" t="s">
        <v>539</v>
      </c>
      <c r="B15" s="197"/>
      <c r="C15" s="197"/>
      <c r="D15" s="197"/>
      <c r="E15" s="197"/>
      <c r="F15" s="351"/>
    </row>
    <row r="16" spans="1:6" x14ac:dyDescent="0.3">
      <c r="A16" s="207" t="s">
        <v>540</v>
      </c>
      <c r="B16" s="197"/>
      <c r="C16" s="197"/>
      <c r="D16" s="197"/>
      <c r="E16" s="197"/>
      <c r="F16" s="351"/>
    </row>
    <row r="17" spans="1:7" x14ac:dyDescent="0.3">
      <c r="A17" s="207" t="s">
        <v>541</v>
      </c>
      <c r="B17" s="197"/>
      <c r="C17" s="197"/>
      <c r="D17" s="197"/>
      <c r="E17" s="197"/>
      <c r="F17" s="351"/>
    </row>
    <row r="18" spans="1:7" x14ac:dyDescent="0.3">
      <c r="A18" s="207" t="s">
        <v>542</v>
      </c>
      <c r="B18" s="197"/>
      <c r="C18" s="197"/>
      <c r="D18" s="197"/>
      <c r="E18" s="197"/>
      <c r="F18" s="351"/>
      <c r="G18" s="350"/>
    </row>
    <row r="19" spans="1:7" x14ac:dyDescent="0.3">
      <c r="A19" s="207" t="s">
        <v>543</v>
      </c>
      <c r="B19" s="197"/>
      <c r="C19" s="197"/>
      <c r="D19" s="197"/>
      <c r="E19" s="197"/>
      <c r="F19" s="348" t="s">
        <v>480</v>
      </c>
      <c r="G19" s="350">
        <v>4</v>
      </c>
    </row>
    <row r="20" spans="1:7" x14ac:dyDescent="0.3">
      <c r="A20" s="207" t="s">
        <v>544</v>
      </c>
      <c r="B20" s="197">
        <v>1.032</v>
      </c>
      <c r="C20" s="197">
        <v>1.0369999999999999</v>
      </c>
      <c r="D20" s="197">
        <v>1.042</v>
      </c>
      <c r="E20" s="197">
        <v>1.0449999999999999</v>
      </c>
      <c r="F20" s="348" t="s">
        <v>480</v>
      </c>
      <c r="G20" s="350">
        <v>3</v>
      </c>
    </row>
    <row r="21" spans="1:7" x14ac:dyDescent="0.3">
      <c r="A21" s="207" t="s">
        <v>545</v>
      </c>
      <c r="B21" s="197"/>
      <c r="C21" s="197"/>
      <c r="D21" s="197"/>
      <c r="E21" s="197"/>
      <c r="F21" s="348" t="s">
        <v>480</v>
      </c>
      <c r="G21" s="350">
        <v>2</v>
      </c>
    </row>
    <row r="22" spans="1:7" ht="124.4" customHeight="1" x14ac:dyDescent="0.3">
      <c r="A22" s="207" t="s">
        <v>546</v>
      </c>
      <c r="B22" s="197">
        <v>1.089</v>
      </c>
      <c r="C22" s="197">
        <v>1.1080000000000001</v>
      </c>
      <c r="D22" s="197">
        <v>1.121</v>
      </c>
      <c r="E22" s="197">
        <v>1.139</v>
      </c>
      <c r="F22" s="348" t="s">
        <v>480</v>
      </c>
      <c r="G22" s="350">
        <v>1</v>
      </c>
    </row>
    <row r="23" spans="1:7" ht="12.75" customHeight="1" x14ac:dyDescent="0.3"/>
    <row r="24" spans="1:7" ht="22.5" customHeight="1" x14ac:dyDescent="0.3">
      <c r="A24" s="581" t="s">
        <v>295</v>
      </c>
      <c r="B24" s="677"/>
      <c r="C24" s="677"/>
      <c r="D24" s="677"/>
      <c r="E24" s="677"/>
      <c r="F24" s="582"/>
    </row>
    <row r="25" spans="1:7" ht="22.5" customHeight="1" x14ac:dyDescent="0.3">
      <c r="A25" s="581" t="s">
        <v>11</v>
      </c>
      <c r="B25" s="677"/>
      <c r="C25" s="677"/>
      <c r="D25" s="677"/>
      <c r="E25" s="677"/>
      <c r="F25" s="582"/>
    </row>
    <row r="26" spans="1:7" ht="33" customHeight="1" x14ac:dyDescent="0.3">
      <c r="A26" s="192" t="s">
        <v>10</v>
      </c>
      <c r="B26" s="192" t="s">
        <v>5</v>
      </c>
      <c r="C26" s="192" t="s">
        <v>6</v>
      </c>
      <c r="D26" s="192" t="s">
        <v>7</v>
      </c>
      <c r="E26" s="192" t="s">
        <v>8</v>
      </c>
      <c r="F26" s="192" t="s">
        <v>9</v>
      </c>
    </row>
    <row r="27" spans="1:7" ht="22.5" customHeight="1" x14ac:dyDescent="0.3">
      <c r="A27" s="207"/>
      <c r="B27" s="197"/>
      <c r="C27" s="197"/>
      <c r="D27" s="197"/>
      <c r="E27" s="197"/>
      <c r="F27" s="209"/>
    </row>
    <row r="28" spans="1:7" ht="12.75" customHeight="1" x14ac:dyDescent="0.3">
      <c r="A28" s="191"/>
      <c r="B28" s="211"/>
      <c r="C28" s="211"/>
      <c r="D28" s="211"/>
      <c r="E28" s="211"/>
      <c r="F28" s="212"/>
    </row>
    <row r="29" spans="1:7" ht="22.5" customHeight="1" x14ac:dyDescent="0.3">
      <c r="A29" s="581" t="s">
        <v>295</v>
      </c>
      <c r="B29" s="677"/>
      <c r="C29" s="677"/>
      <c r="D29" s="677"/>
      <c r="E29" s="677"/>
      <c r="F29" s="582"/>
    </row>
    <row r="30" spans="1:7" ht="22.5" customHeight="1" x14ac:dyDescent="0.3">
      <c r="A30" s="581" t="s">
        <v>12</v>
      </c>
      <c r="B30" s="677"/>
      <c r="C30" s="677"/>
      <c r="D30" s="677"/>
      <c r="E30" s="677"/>
      <c r="F30" s="582"/>
    </row>
    <row r="31" spans="1:7" ht="33" customHeight="1" x14ac:dyDescent="0.3">
      <c r="A31" s="192" t="s">
        <v>10</v>
      </c>
      <c r="B31" s="192" t="s">
        <v>5</v>
      </c>
      <c r="C31" s="192" t="s">
        <v>6</v>
      </c>
      <c r="D31" s="192" t="s">
        <v>7</v>
      </c>
      <c r="E31" s="192" t="s">
        <v>8</v>
      </c>
      <c r="F31" s="192" t="s">
        <v>9</v>
      </c>
    </row>
    <row r="32" spans="1:7" ht="22.5" customHeight="1" x14ac:dyDescent="0.3">
      <c r="A32" s="207"/>
      <c r="B32" s="197"/>
      <c r="C32" s="197"/>
      <c r="D32" s="197"/>
      <c r="E32" s="197"/>
      <c r="F32" s="209"/>
    </row>
    <row r="36" spans="2:2" x14ac:dyDescent="0.3">
      <c r="B36" s="21" t="s">
        <v>717</v>
      </c>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1C00-000000000000}"/>
  </hyperlinks>
  <pageMargins left="0.70866141732283472" right="0.70866141732283472" top="0.74803149606299213" bottom="0.74803149606299213" header="0.31496062992125984" footer="0.31496062992125984"/>
  <pageSetup paperSize="8" scale="84"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8">
    <pageSetUpPr fitToPage="1"/>
  </sheetPr>
  <dimension ref="A1:I35"/>
  <sheetViews>
    <sheetView zoomScale="50" zoomScaleNormal="50" workbookViewId="0"/>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87" customFormat="1" ht="27.75" customHeight="1" x14ac:dyDescent="0.3">
      <c r="A1" s="30" t="s">
        <v>19</v>
      </c>
      <c r="B1" s="101"/>
      <c r="D1" s="101"/>
      <c r="E1" s="101"/>
      <c r="F1" s="101"/>
      <c r="G1" s="213"/>
      <c r="H1" s="88"/>
      <c r="I1" s="88"/>
    </row>
    <row r="2" spans="1:9" ht="40" customHeight="1" x14ac:dyDescent="0.3">
      <c r="A2" s="668" t="s">
        <v>569</v>
      </c>
      <c r="B2" s="668"/>
      <c r="C2" s="668"/>
      <c r="D2" s="668"/>
      <c r="E2" s="668"/>
      <c r="F2" s="668"/>
    </row>
    <row r="3" spans="1:9" ht="47.25" customHeight="1" x14ac:dyDescent="0.3">
      <c r="A3" s="553" t="str">
        <f>Overview!B4&amp;" - Illustrative LLFs in WPD West Midlands Area (GSP Group_E) for year beginning "&amp;Overview!D4&amp;""</f>
        <v>Indigo Power Limited - Illustrative LLFs in WPD West Midlands Area (GSP Group_E) for year beginning 1 April 2023</v>
      </c>
      <c r="B3" s="653"/>
      <c r="C3" s="653"/>
      <c r="D3" s="653"/>
      <c r="E3" s="654"/>
    </row>
    <row r="4" spans="1:9" ht="19.5" customHeight="1" x14ac:dyDescent="0.3">
      <c r="A4" s="683" t="s">
        <v>13</v>
      </c>
      <c r="B4" s="192" t="s">
        <v>5</v>
      </c>
      <c r="C4" s="192" t="s">
        <v>6</v>
      </c>
      <c r="D4" s="192" t="s">
        <v>7</v>
      </c>
      <c r="E4" s="192" t="s">
        <v>8</v>
      </c>
    </row>
    <row r="5" spans="1:9" ht="34.5" customHeight="1" x14ac:dyDescent="0.3">
      <c r="A5" s="684"/>
      <c r="B5" s="192"/>
      <c r="C5" s="192"/>
      <c r="D5" s="192"/>
      <c r="E5" s="192"/>
    </row>
    <row r="6" spans="1:9" ht="45" customHeight="1" x14ac:dyDescent="0.3">
      <c r="A6" s="359"/>
      <c r="B6" s="96"/>
      <c r="C6" s="96"/>
      <c r="D6" s="361"/>
      <c r="E6" s="361"/>
    </row>
    <row r="7" spans="1:9" ht="45" customHeight="1" x14ac:dyDescent="0.3">
      <c r="A7" s="359"/>
      <c r="B7" s="361"/>
      <c r="C7" s="362"/>
      <c r="D7" s="361"/>
      <c r="E7" s="361"/>
    </row>
    <row r="8" spans="1:9" ht="45" customHeight="1" x14ac:dyDescent="0.3">
      <c r="A8" s="359"/>
      <c r="B8" s="96"/>
      <c r="C8" s="96"/>
      <c r="D8" s="361"/>
      <c r="E8" s="361"/>
    </row>
    <row r="9" spans="1:9" ht="25.5" customHeight="1" x14ac:dyDescent="0.3">
      <c r="A9" s="203" t="s">
        <v>14</v>
      </c>
      <c r="B9" s="688" t="s">
        <v>15</v>
      </c>
      <c r="C9" s="689"/>
      <c r="D9" s="689"/>
      <c r="E9" s="690"/>
    </row>
    <row r="10" spans="1:9" s="193" customFormat="1" ht="12.75" customHeight="1" x14ac:dyDescent="0.3">
      <c r="A10" s="204"/>
      <c r="B10" s="205"/>
      <c r="C10" s="205"/>
      <c r="D10" s="205"/>
      <c r="E10" s="205"/>
    </row>
    <row r="11" spans="1:9" ht="12.75" customHeight="1" x14ac:dyDescent="0.3">
      <c r="A11" s="206"/>
      <c r="B11" s="205"/>
      <c r="C11" s="205"/>
      <c r="D11" s="205"/>
      <c r="E11" s="205"/>
    </row>
    <row r="12" spans="1:9" ht="22.5" customHeight="1" x14ac:dyDescent="0.3">
      <c r="A12" s="581" t="s">
        <v>478</v>
      </c>
      <c r="B12" s="677"/>
      <c r="C12" s="677"/>
      <c r="D12" s="677"/>
      <c r="E12" s="677"/>
      <c r="F12" s="582"/>
    </row>
    <row r="13" spans="1:9" ht="22.5" customHeight="1" x14ac:dyDescent="0.3">
      <c r="A13" s="581" t="s">
        <v>4</v>
      </c>
      <c r="B13" s="677"/>
      <c r="C13" s="677"/>
      <c r="D13" s="677"/>
      <c r="E13" s="677"/>
      <c r="F13" s="582"/>
    </row>
    <row r="14" spans="1:9" ht="33" customHeight="1" x14ac:dyDescent="0.3">
      <c r="A14" s="192" t="s">
        <v>479</v>
      </c>
      <c r="B14" s="192" t="s">
        <v>5</v>
      </c>
      <c r="C14" s="192" t="s">
        <v>6</v>
      </c>
      <c r="D14" s="192" t="s">
        <v>7</v>
      </c>
      <c r="E14" s="192" t="s">
        <v>8</v>
      </c>
      <c r="F14" s="192" t="s">
        <v>9</v>
      </c>
    </row>
    <row r="15" spans="1:9" x14ac:dyDescent="0.3">
      <c r="A15" s="207" t="s">
        <v>563</v>
      </c>
      <c r="B15" s="197"/>
      <c r="C15" s="197"/>
      <c r="D15" s="197"/>
      <c r="E15" s="197"/>
      <c r="F15" s="96"/>
    </row>
    <row r="16" spans="1:9" x14ac:dyDescent="0.3">
      <c r="A16" s="207" t="s">
        <v>564</v>
      </c>
      <c r="B16" s="197"/>
      <c r="C16" s="197"/>
      <c r="D16" s="197"/>
      <c r="E16" s="197"/>
      <c r="F16" s="96"/>
    </row>
    <row r="17" spans="1:7" x14ac:dyDescent="0.3">
      <c r="A17" s="207" t="s">
        <v>565</v>
      </c>
      <c r="B17" s="197"/>
      <c r="C17" s="197"/>
      <c r="D17" s="197"/>
      <c r="E17" s="197"/>
      <c r="F17" s="96"/>
    </row>
    <row r="18" spans="1:7" x14ac:dyDescent="0.3">
      <c r="A18" s="207" t="s">
        <v>566</v>
      </c>
      <c r="B18" s="197"/>
      <c r="C18" s="197"/>
      <c r="D18" s="197"/>
      <c r="E18" s="197"/>
      <c r="F18" s="96"/>
    </row>
    <row r="19" spans="1:7" x14ac:dyDescent="0.3">
      <c r="A19" s="207" t="s">
        <v>560</v>
      </c>
      <c r="B19" s="197"/>
      <c r="C19" s="197"/>
      <c r="D19" s="197"/>
      <c r="E19" s="197"/>
      <c r="F19" s="345" t="s">
        <v>603</v>
      </c>
      <c r="G19" s="350">
        <v>4</v>
      </c>
    </row>
    <row r="20" spans="1:7" x14ac:dyDescent="0.3">
      <c r="A20" s="207" t="s">
        <v>559</v>
      </c>
      <c r="B20" s="197">
        <v>1.0509999999999999</v>
      </c>
      <c r="C20" s="197">
        <v>1.048</v>
      </c>
      <c r="D20" s="197">
        <v>1.0329999999999999</v>
      </c>
      <c r="E20" s="197">
        <v>1.0389999999999999</v>
      </c>
      <c r="F20" s="345" t="s">
        <v>480</v>
      </c>
      <c r="G20" s="350">
        <v>3</v>
      </c>
    </row>
    <row r="21" spans="1:7" x14ac:dyDescent="0.3">
      <c r="A21" s="207" t="s">
        <v>558</v>
      </c>
      <c r="B21" s="197"/>
      <c r="C21" s="197"/>
      <c r="D21" s="197"/>
      <c r="E21" s="197"/>
      <c r="F21" s="345" t="s">
        <v>480</v>
      </c>
      <c r="G21" s="350">
        <v>2</v>
      </c>
    </row>
    <row r="22" spans="1:7" ht="119.7" customHeight="1" x14ac:dyDescent="0.3">
      <c r="A22" s="207" t="s">
        <v>557</v>
      </c>
      <c r="B22" s="197">
        <v>1.0900000000000001</v>
      </c>
      <c r="C22" s="197">
        <v>1.0840000000000001</v>
      </c>
      <c r="D22" s="197">
        <v>1.07</v>
      </c>
      <c r="E22" s="197">
        <v>1.075</v>
      </c>
      <c r="F22" s="345" t="s">
        <v>480</v>
      </c>
      <c r="G22" s="350">
        <v>1</v>
      </c>
    </row>
    <row r="23" spans="1:7" ht="12.75" customHeight="1" x14ac:dyDescent="0.3"/>
    <row r="24" spans="1:7" ht="22.5" customHeight="1" x14ac:dyDescent="0.3">
      <c r="A24" s="581" t="s">
        <v>295</v>
      </c>
      <c r="B24" s="677"/>
      <c r="C24" s="677"/>
      <c r="D24" s="677"/>
      <c r="E24" s="677"/>
      <c r="F24" s="582"/>
    </row>
    <row r="25" spans="1:7" ht="22.5" customHeight="1" x14ac:dyDescent="0.3">
      <c r="A25" s="581" t="s">
        <v>11</v>
      </c>
      <c r="B25" s="677"/>
      <c r="C25" s="677"/>
      <c r="D25" s="677"/>
      <c r="E25" s="677"/>
      <c r="F25" s="582"/>
    </row>
    <row r="26" spans="1:7" ht="33" customHeight="1" x14ac:dyDescent="0.3">
      <c r="A26" s="192" t="s">
        <v>10</v>
      </c>
      <c r="B26" s="192" t="s">
        <v>5</v>
      </c>
      <c r="C26" s="192" t="s">
        <v>6</v>
      </c>
      <c r="D26" s="192" t="s">
        <v>7</v>
      </c>
      <c r="E26" s="192" t="s">
        <v>8</v>
      </c>
      <c r="F26" s="192" t="s">
        <v>9</v>
      </c>
    </row>
    <row r="27" spans="1:7" ht="22.5" customHeight="1" x14ac:dyDescent="0.3">
      <c r="A27" s="208"/>
      <c r="B27" s="197"/>
      <c r="C27" s="197"/>
      <c r="D27" s="197"/>
      <c r="E27" s="197"/>
      <c r="F27" s="209"/>
    </row>
    <row r="28" spans="1:7" ht="12.75" customHeight="1" x14ac:dyDescent="0.3"/>
    <row r="29" spans="1:7" ht="22.5" customHeight="1" x14ac:dyDescent="0.3">
      <c r="A29" s="581" t="s">
        <v>295</v>
      </c>
      <c r="B29" s="677"/>
      <c r="C29" s="677"/>
      <c r="D29" s="677"/>
      <c r="E29" s="677"/>
      <c r="F29" s="582"/>
    </row>
    <row r="30" spans="1:7" ht="22.5" customHeight="1" x14ac:dyDescent="0.3">
      <c r="A30" s="581" t="s">
        <v>12</v>
      </c>
      <c r="B30" s="677"/>
      <c r="C30" s="677"/>
      <c r="D30" s="677"/>
      <c r="E30" s="677"/>
      <c r="F30" s="582"/>
    </row>
    <row r="31" spans="1:7" ht="33" customHeight="1" x14ac:dyDescent="0.3">
      <c r="A31" s="192" t="s">
        <v>10</v>
      </c>
      <c r="B31" s="192" t="s">
        <v>5</v>
      </c>
      <c r="C31" s="192" t="s">
        <v>6</v>
      </c>
      <c r="D31" s="192" t="s">
        <v>7</v>
      </c>
      <c r="E31" s="192" t="s">
        <v>8</v>
      </c>
      <c r="F31" s="192" t="s">
        <v>9</v>
      </c>
    </row>
    <row r="32" spans="1:7" ht="22.5" customHeight="1" x14ac:dyDescent="0.3">
      <c r="A32" s="207"/>
      <c r="B32" s="197"/>
      <c r="C32" s="197"/>
      <c r="D32" s="197"/>
      <c r="E32" s="197"/>
      <c r="F32" s="209"/>
    </row>
    <row r="35" spans="2:2" x14ac:dyDescent="0.3">
      <c r="B35" s="21" t="s">
        <v>718</v>
      </c>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1D00-000000000000}"/>
  </hyperlinks>
  <pageMargins left="0.39370078740157483" right="0.35433070866141736" top="0.68906250000000002" bottom="0.55118110236220474" header="0.27559055118110237" footer="0.31496062992125984"/>
  <pageSetup paperSize="9" scale="63" fitToHeight="0" orientation="portrait" r:id="rId1"/>
  <headerFooter scaleWithDoc="0">
    <oddHeader>&amp;L&amp;"Arial,Bold"
Annex 5 – Schedule of Line Loss Factors</oddHeader>
    <firstFooter>&amp;C&amp;P of &amp;N</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9">
    <pageSetUpPr fitToPage="1"/>
  </sheetPr>
  <dimension ref="A1:G121"/>
  <sheetViews>
    <sheetView zoomScale="50" zoomScaleNormal="50" workbookViewId="0"/>
  </sheetViews>
  <sheetFormatPr defaultColWidth="9.15234375" defaultRowHeight="12.45" x14ac:dyDescent="0.3"/>
  <cols>
    <col min="1" max="6" width="24" style="21" customWidth="1"/>
    <col min="7" max="16384" width="9.15234375" style="21"/>
  </cols>
  <sheetData>
    <row r="1" spans="1:7" ht="27.75" customHeight="1" x14ac:dyDescent="0.3">
      <c r="A1" s="189" t="s">
        <v>19</v>
      </c>
      <c r="C1" s="190"/>
    </row>
    <row r="2" spans="1:7" ht="40" customHeight="1" x14ac:dyDescent="0.3">
      <c r="A2" s="668" t="s">
        <v>569</v>
      </c>
      <c r="B2" s="668"/>
      <c r="C2" s="668"/>
      <c r="D2" s="668"/>
      <c r="E2" s="668"/>
      <c r="F2" s="668"/>
    </row>
    <row r="3" spans="1:7" ht="47.25" customHeight="1" x14ac:dyDescent="0.3">
      <c r="A3" s="553" t="str">
        <f>Overview!B4&amp;" - Illustrative LLFs in NPG Northeast Area (GSP Group_F) for year beginning "&amp;Overview!D4&amp;""</f>
        <v>Indigo Power Limited - Illustrative LLFs in NPG Northeast Area (GSP Group_F) for year beginning 1 April 2023</v>
      </c>
      <c r="B3" s="653"/>
      <c r="C3" s="653"/>
      <c r="D3" s="653"/>
      <c r="E3" s="654"/>
    </row>
    <row r="4" spans="1:7" ht="19.5" customHeight="1" x14ac:dyDescent="0.3">
      <c r="A4" s="683" t="s">
        <v>13</v>
      </c>
      <c r="B4" s="192" t="s">
        <v>5</v>
      </c>
      <c r="C4" s="192" t="s">
        <v>6</v>
      </c>
      <c r="D4" s="192" t="s">
        <v>7</v>
      </c>
      <c r="E4" s="192" t="s">
        <v>8</v>
      </c>
    </row>
    <row r="5" spans="1:7" ht="40.5" customHeight="1" x14ac:dyDescent="0.3">
      <c r="A5" s="684"/>
      <c r="B5" s="192"/>
      <c r="C5" s="192"/>
      <c r="D5" s="192"/>
      <c r="E5" s="192"/>
    </row>
    <row r="6" spans="1:7" ht="45" customHeight="1" x14ac:dyDescent="0.3">
      <c r="A6" s="359"/>
      <c r="B6" s="360"/>
      <c r="C6" s="360"/>
      <c r="D6" s="361"/>
      <c r="E6" s="361"/>
    </row>
    <row r="7" spans="1:7" ht="45" customHeight="1" x14ac:dyDescent="0.3">
      <c r="A7" s="359"/>
      <c r="B7" s="360"/>
      <c r="C7" s="361"/>
      <c r="D7" s="361"/>
      <c r="E7" s="361"/>
    </row>
    <row r="8" spans="1:7" ht="45" customHeight="1" x14ac:dyDescent="0.3">
      <c r="A8" s="359"/>
      <c r="B8" s="361"/>
      <c r="C8" s="361"/>
      <c r="D8" s="361"/>
      <c r="E8" s="361"/>
    </row>
    <row r="9" spans="1:7" ht="45" customHeight="1" x14ac:dyDescent="0.3">
      <c r="A9" s="359"/>
      <c r="B9" s="360"/>
      <c r="C9" s="360"/>
      <c r="D9" s="361"/>
      <c r="E9" s="361"/>
      <c r="F9" s="21" t="s">
        <v>480</v>
      </c>
    </row>
    <row r="10" spans="1:7" ht="45" customHeight="1" x14ac:dyDescent="0.3">
      <c r="A10" s="359"/>
      <c r="B10" s="360"/>
      <c r="C10" s="360"/>
      <c r="D10" s="361"/>
      <c r="E10" s="361"/>
      <c r="F10" s="214" t="s">
        <v>480</v>
      </c>
    </row>
    <row r="11" spans="1:7" ht="25.5" customHeight="1" x14ac:dyDescent="0.3">
      <c r="A11" s="170" t="s">
        <v>14</v>
      </c>
      <c r="B11" s="685" t="s">
        <v>15</v>
      </c>
      <c r="C11" s="686"/>
      <c r="D11" s="686"/>
      <c r="E11" s="687"/>
    </row>
    <row r="12" spans="1:7" s="193" customFormat="1" ht="12.75" customHeight="1" x14ac:dyDescent="0.3">
      <c r="A12" s="204"/>
      <c r="B12" s="205"/>
      <c r="C12" s="205"/>
      <c r="D12" s="205"/>
      <c r="E12" s="205"/>
      <c r="G12" s="21"/>
    </row>
    <row r="13" spans="1:7" ht="12.75" customHeight="1" x14ac:dyDescent="0.3">
      <c r="B13" s="205"/>
      <c r="C13" s="205"/>
      <c r="D13" s="205"/>
      <c r="E13" s="205"/>
    </row>
    <row r="14" spans="1:7" ht="22.5" customHeight="1" x14ac:dyDescent="0.3">
      <c r="A14" s="581" t="s">
        <v>293</v>
      </c>
      <c r="B14" s="677"/>
      <c r="C14" s="677"/>
      <c r="D14" s="677"/>
      <c r="E14" s="677"/>
      <c r="F14" s="582"/>
    </row>
    <row r="15" spans="1:7" ht="22.5" customHeight="1" x14ac:dyDescent="0.3">
      <c r="A15" s="581" t="s">
        <v>4</v>
      </c>
      <c r="B15" s="677"/>
      <c r="C15" s="677"/>
      <c r="D15" s="677"/>
      <c r="E15" s="677"/>
      <c r="F15" s="582"/>
    </row>
    <row r="16" spans="1:7" ht="33" customHeight="1" x14ac:dyDescent="0.3">
      <c r="A16" s="192" t="s">
        <v>294</v>
      </c>
      <c r="B16" s="192" t="s">
        <v>5</v>
      </c>
      <c r="C16" s="192" t="s">
        <v>6</v>
      </c>
      <c r="D16" s="192" t="s">
        <v>7</v>
      </c>
      <c r="E16" s="192" t="s">
        <v>8</v>
      </c>
      <c r="F16" s="192" t="s">
        <v>9</v>
      </c>
    </row>
    <row r="17" spans="1:6" ht="132.44999999999999" customHeight="1" x14ac:dyDescent="0.3">
      <c r="A17" s="207" t="s">
        <v>557</v>
      </c>
      <c r="B17" s="394">
        <v>1.08</v>
      </c>
      <c r="C17" s="394">
        <v>1.073</v>
      </c>
      <c r="D17" s="394">
        <v>1.0629999999999999</v>
      </c>
      <c r="E17" s="394">
        <v>1.0669999999999999</v>
      </c>
      <c r="F17" s="345" t="s">
        <v>480</v>
      </c>
    </row>
    <row r="18" spans="1:6" ht="22.5" customHeight="1" x14ac:dyDescent="0.3">
      <c r="A18" s="207" t="s">
        <v>558</v>
      </c>
      <c r="B18" s="207"/>
      <c r="C18" s="207"/>
      <c r="D18" s="207"/>
      <c r="E18" s="207"/>
      <c r="F18" s="345" t="s">
        <v>480</v>
      </c>
    </row>
    <row r="19" spans="1:6" ht="22.5" customHeight="1" x14ac:dyDescent="0.3">
      <c r="A19" s="207" t="s">
        <v>559</v>
      </c>
      <c r="B19" s="394">
        <v>1.0229999999999999</v>
      </c>
      <c r="C19" s="394">
        <v>1.0209999999999999</v>
      </c>
      <c r="D19" s="394">
        <v>1.0169999999999999</v>
      </c>
      <c r="E19" s="394">
        <v>1.0189999999999999</v>
      </c>
      <c r="F19" s="345" t="s">
        <v>480</v>
      </c>
    </row>
    <row r="20" spans="1:6" ht="22.5" customHeight="1" x14ac:dyDescent="0.3">
      <c r="A20" s="207" t="s">
        <v>560</v>
      </c>
      <c r="B20" s="207"/>
      <c r="C20" s="207"/>
      <c r="D20" s="207"/>
      <c r="E20" s="207"/>
      <c r="F20" s="345" t="s">
        <v>603</v>
      </c>
    </row>
    <row r="21" spans="1:6" ht="30" customHeight="1" x14ac:dyDescent="0.3">
      <c r="A21" s="207" t="s">
        <v>561</v>
      </c>
      <c r="B21" s="207"/>
      <c r="C21" s="207"/>
      <c r="D21" s="207"/>
      <c r="E21" s="207"/>
      <c r="F21" s="348"/>
    </row>
    <row r="22" spans="1:6" ht="30" customHeight="1" x14ac:dyDescent="0.3">
      <c r="A22" s="207" t="s">
        <v>562</v>
      </c>
      <c r="B22" s="207"/>
      <c r="C22" s="207"/>
      <c r="D22" s="207"/>
      <c r="E22" s="207"/>
      <c r="F22" s="348"/>
    </row>
    <row r="23" spans="1:6" ht="12.75" customHeight="1" x14ac:dyDescent="0.3"/>
    <row r="24" spans="1:6" ht="22.5" customHeight="1" x14ac:dyDescent="0.3">
      <c r="A24" s="581" t="s">
        <v>295</v>
      </c>
      <c r="B24" s="677"/>
      <c r="C24" s="677"/>
      <c r="D24" s="677"/>
      <c r="E24" s="677"/>
      <c r="F24" s="582"/>
    </row>
    <row r="25" spans="1:6" ht="22.5" customHeight="1" x14ac:dyDescent="0.3">
      <c r="A25" s="581" t="s">
        <v>11</v>
      </c>
      <c r="B25" s="677"/>
      <c r="C25" s="677"/>
      <c r="D25" s="677"/>
      <c r="E25" s="677"/>
      <c r="F25" s="582"/>
    </row>
    <row r="26" spans="1:6" ht="33" customHeight="1" x14ac:dyDescent="0.3">
      <c r="A26" s="192" t="s">
        <v>10</v>
      </c>
      <c r="B26" s="192" t="s">
        <v>5</v>
      </c>
      <c r="C26" s="192" t="s">
        <v>6</v>
      </c>
      <c r="D26" s="192" t="s">
        <v>7</v>
      </c>
      <c r="E26" s="192" t="s">
        <v>8</v>
      </c>
      <c r="F26" s="192" t="s">
        <v>9</v>
      </c>
    </row>
    <row r="27" spans="1:6" ht="22.5" customHeight="1" x14ac:dyDescent="0.3">
      <c r="A27" s="207"/>
      <c r="B27" s="209"/>
      <c r="C27" s="209"/>
      <c r="D27" s="209"/>
      <c r="E27" s="209"/>
      <c r="F27" s="215"/>
    </row>
    <row r="28" spans="1:6" ht="12.75" customHeight="1" x14ac:dyDescent="0.3"/>
    <row r="29" spans="1:6" ht="22.5" customHeight="1" x14ac:dyDescent="0.3">
      <c r="A29" s="581" t="s">
        <v>295</v>
      </c>
      <c r="B29" s="677"/>
      <c r="C29" s="677"/>
      <c r="D29" s="677"/>
      <c r="E29" s="677"/>
      <c r="F29" s="582"/>
    </row>
    <row r="30" spans="1:6" ht="22.5" customHeight="1" x14ac:dyDescent="0.3">
      <c r="A30" s="581" t="s">
        <v>12</v>
      </c>
      <c r="B30" s="677"/>
      <c r="C30" s="677"/>
      <c r="D30" s="677"/>
      <c r="E30" s="677"/>
      <c r="F30" s="582"/>
    </row>
    <row r="31" spans="1:6" ht="33" customHeight="1" x14ac:dyDescent="0.3">
      <c r="A31" s="192" t="s">
        <v>10</v>
      </c>
      <c r="B31" s="192" t="s">
        <v>5</v>
      </c>
      <c r="C31" s="192" t="s">
        <v>6</v>
      </c>
      <c r="D31" s="192" t="s">
        <v>7</v>
      </c>
      <c r="E31" s="192" t="s">
        <v>8</v>
      </c>
      <c r="F31" s="192" t="s">
        <v>9</v>
      </c>
    </row>
    <row r="32" spans="1:6" ht="22.5" customHeight="1" x14ac:dyDescent="0.3">
      <c r="A32" s="207"/>
      <c r="B32" s="197"/>
      <c r="C32" s="197"/>
      <c r="D32" s="197"/>
      <c r="E32" s="197"/>
      <c r="F32" s="209"/>
    </row>
    <row r="33" spans="1:1" ht="22.5" customHeight="1" x14ac:dyDescent="0.3"/>
    <row r="34" spans="1:1" ht="22.5" customHeight="1" x14ac:dyDescent="0.3"/>
    <row r="35" spans="1:1" ht="22.5" customHeight="1" x14ac:dyDescent="0.3">
      <c r="A35" s="21" t="s">
        <v>720</v>
      </c>
    </row>
    <row r="36" spans="1:1" ht="22.5" customHeight="1" x14ac:dyDescent="0.3"/>
    <row r="37" spans="1:1" ht="22.5" customHeight="1" x14ac:dyDescent="0.3"/>
    <row r="38" spans="1:1" ht="22.5" customHeight="1" x14ac:dyDescent="0.3"/>
    <row r="39" spans="1:1" ht="22.5" customHeight="1" x14ac:dyDescent="0.3"/>
    <row r="40" spans="1:1" ht="22.5" customHeight="1" x14ac:dyDescent="0.3"/>
    <row r="41" spans="1:1" ht="22.5" customHeight="1" x14ac:dyDescent="0.3"/>
    <row r="42" spans="1:1" ht="22.5" customHeight="1" x14ac:dyDescent="0.3"/>
    <row r="43" spans="1:1" ht="22.5" customHeight="1" x14ac:dyDescent="0.3"/>
    <row r="44" spans="1:1" ht="22.5" customHeight="1" x14ac:dyDescent="0.3"/>
    <row r="45" spans="1:1" ht="22.5" customHeight="1" x14ac:dyDescent="0.3"/>
    <row r="46" spans="1:1" ht="22.5" customHeight="1" x14ac:dyDescent="0.3"/>
    <row r="47" spans="1:1" ht="22.5" customHeight="1" x14ac:dyDescent="0.3"/>
    <row r="48" spans="1:1" ht="22.5" customHeight="1" x14ac:dyDescent="0.3"/>
    <row r="49" ht="22.5" customHeight="1" x14ac:dyDescent="0.3"/>
    <row r="50" ht="22.5" customHeight="1" x14ac:dyDescent="0.3"/>
    <row r="51" ht="22.5" customHeight="1" x14ac:dyDescent="0.3"/>
    <row r="52" ht="22.5" customHeight="1" x14ac:dyDescent="0.3"/>
    <row r="53" ht="22.5" customHeight="1" x14ac:dyDescent="0.3"/>
    <row r="54" ht="22.5" customHeight="1" x14ac:dyDescent="0.3"/>
    <row r="55" ht="22.5" customHeight="1" x14ac:dyDescent="0.3"/>
    <row r="56" ht="22.5" customHeight="1" x14ac:dyDescent="0.3"/>
    <row r="57" ht="22.5" customHeight="1" x14ac:dyDescent="0.3"/>
    <row r="58" ht="22.5" customHeight="1" x14ac:dyDescent="0.3"/>
    <row r="59" ht="22.5" customHeight="1" x14ac:dyDescent="0.3"/>
    <row r="60" ht="22.5" customHeight="1" x14ac:dyDescent="0.3"/>
    <row r="61" ht="22.5" customHeight="1" x14ac:dyDescent="0.3"/>
    <row r="62" ht="22.5" customHeight="1" x14ac:dyDescent="0.3"/>
    <row r="63" ht="22.5" customHeight="1" x14ac:dyDescent="0.3"/>
    <row r="64" ht="22.5" customHeight="1" x14ac:dyDescent="0.3"/>
    <row r="65" ht="22.5" customHeight="1" x14ac:dyDescent="0.3"/>
    <row r="66" ht="22.5" customHeight="1" x14ac:dyDescent="0.3"/>
    <row r="67" ht="22.5" customHeight="1" x14ac:dyDescent="0.3"/>
    <row r="68" ht="22.5" customHeight="1" x14ac:dyDescent="0.3"/>
    <row r="69" ht="22.5" customHeight="1" x14ac:dyDescent="0.3"/>
    <row r="70" ht="22.5" customHeight="1" x14ac:dyDescent="0.3"/>
    <row r="71" ht="22.5" customHeight="1" x14ac:dyDescent="0.3"/>
    <row r="72" ht="22.5" customHeight="1" x14ac:dyDescent="0.3"/>
    <row r="73" ht="22.5" customHeight="1" x14ac:dyDescent="0.3"/>
    <row r="74" ht="22.5" customHeight="1" x14ac:dyDescent="0.3"/>
    <row r="75" ht="22.5" customHeight="1" x14ac:dyDescent="0.3"/>
    <row r="76" ht="22.5" customHeight="1" x14ac:dyDescent="0.3"/>
    <row r="77" ht="22.5" customHeight="1" x14ac:dyDescent="0.3"/>
    <row r="78" ht="22.5" customHeight="1" x14ac:dyDescent="0.3"/>
    <row r="79" ht="22.5" customHeight="1" x14ac:dyDescent="0.3"/>
    <row r="80" ht="22.5" customHeight="1" x14ac:dyDescent="0.3"/>
    <row r="81" ht="22.5" customHeight="1" x14ac:dyDescent="0.3"/>
    <row r="82" ht="22.5" customHeight="1" x14ac:dyDescent="0.3"/>
    <row r="83" ht="22.5" customHeight="1" x14ac:dyDescent="0.3"/>
    <row r="84" ht="22.5" customHeight="1" x14ac:dyDescent="0.3"/>
    <row r="85" ht="22.5" customHeight="1" x14ac:dyDescent="0.3"/>
    <row r="86" ht="22.5" customHeight="1" x14ac:dyDescent="0.3"/>
    <row r="87" ht="22.5" customHeight="1" x14ac:dyDescent="0.3"/>
    <row r="88" ht="22.5" customHeight="1" x14ac:dyDescent="0.3"/>
    <row r="89" ht="22.5" customHeight="1" x14ac:dyDescent="0.3"/>
    <row r="90" ht="22.5" customHeight="1" x14ac:dyDescent="0.3"/>
    <row r="91" ht="22.5" customHeight="1" x14ac:dyDescent="0.3"/>
    <row r="92" ht="22.5" customHeight="1" x14ac:dyDescent="0.3"/>
    <row r="93" ht="22.5" customHeight="1" x14ac:dyDescent="0.3"/>
    <row r="94" ht="22.5" customHeight="1" x14ac:dyDescent="0.3"/>
    <row r="95" ht="22.5" customHeight="1" x14ac:dyDescent="0.3"/>
    <row r="96" ht="22.5" customHeight="1" x14ac:dyDescent="0.3"/>
    <row r="97" ht="22.5" customHeight="1" x14ac:dyDescent="0.3"/>
    <row r="98" ht="22.5" customHeight="1" x14ac:dyDescent="0.3"/>
    <row r="99" ht="22.5" customHeight="1" x14ac:dyDescent="0.3"/>
    <row r="100" ht="22.5" customHeight="1" x14ac:dyDescent="0.3"/>
    <row r="101" ht="22.5" customHeight="1" x14ac:dyDescent="0.3"/>
    <row r="102" ht="22.5" customHeight="1" x14ac:dyDescent="0.3"/>
    <row r="103" ht="22.5" customHeight="1" x14ac:dyDescent="0.3"/>
    <row r="104" ht="22.5" customHeight="1" x14ac:dyDescent="0.3"/>
    <row r="105" ht="22.5" customHeight="1" x14ac:dyDescent="0.3"/>
    <row r="106" ht="22.5" customHeight="1" x14ac:dyDescent="0.3"/>
    <row r="107" ht="22.5" customHeight="1" x14ac:dyDescent="0.3"/>
    <row r="108" ht="22.5" customHeight="1" x14ac:dyDescent="0.3"/>
    <row r="109" ht="22.5" customHeight="1" x14ac:dyDescent="0.3"/>
    <row r="110" ht="22.5" customHeight="1" x14ac:dyDescent="0.3"/>
    <row r="111" ht="22.5" customHeight="1" x14ac:dyDescent="0.3"/>
    <row r="112" ht="22.5" customHeight="1" x14ac:dyDescent="0.3"/>
    <row r="113" ht="22.5" customHeight="1" x14ac:dyDescent="0.3"/>
    <row r="114" ht="22.5" customHeight="1" x14ac:dyDescent="0.3"/>
    <row r="115" ht="22.5" customHeight="1" x14ac:dyDescent="0.3"/>
    <row r="116" ht="22.5" customHeight="1" x14ac:dyDescent="0.3"/>
    <row r="117" ht="22.5" customHeight="1" x14ac:dyDescent="0.3"/>
    <row r="118" ht="22.5" customHeight="1" x14ac:dyDescent="0.3"/>
    <row r="119" ht="22.5" customHeight="1" x14ac:dyDescent="0.3"/>
    <row r="120" ht="22.5" customHeight="1" x14ac:dyDescent="0.3"/>
    <row r="121" ht="22.5" customHeight="1" x14ac:dyDescent="0.3"/>
  </sheetData>
  <mergeCells count="10">
    <mergeCell ref="A2:F2"/>
    <mergeCell ref="A24:F24"/>
    <mergeCell ref="A25:F25"/>
    <mergeCell ref="A29:F29"/>
    <mergeCell ref="A30:F30"/>
    <mergeCell ref="A3:E3"/>
    <mergeCell ref="A4:A5"/>
    <mergeCell ref="B11:E11"/>
    <mergeCell ref="A14:F14"/>
    <mergeCell ref="A15:F15"/>
  </mergeCells>
  <hyperlinks>
    <hyperlink ref="A1" location="Overview!A1" display="Back to Overview" xr:uid="{00000000-0004-0000-1E00-000000000000}"/>
  </hyperlinks>
  <pageMargins left="0.70866141732283472" right="0.70866141732283472" top="0.74803149606299213" bottom="0.74803149606299213" header="0.31496062992125984" footer="0.31496062992125984"/>
  <pageSetup paperSize="9" scale="57" fitToHeight="0" orientation="portrait" r:id="rId1"/>
  <headerFooter differentFirst="1" scaleWithDoc="0">
    <oddHeader>&amp;L&amp;"Trebuchet MS,Regular"
&amp;"Trebuchet MS,Bold"Annex 5&amp;"Trebuchet MS,Regular" – Schedule of Line Loss Factors</oddHeader>
    <oddFooter>&amp;L&amp;"Trebuchet MS,Regular"&amp;8NORTHERN POWERGRID (NORTHEAST) LTD&amp;R&amp;"Trebuchet MS,Regular"&amp;8DECEMBER 2016 FINAL – V1.0</oddFooter>
    <firstHeader>&amp;L
Annex 5 – Schedule of Line Loss Factors</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pageSetUpPr fitToPage="1"/>
  </sheetPr>
  <dimension ref="A1:XER31"/>
  <sheetViews>
    <sheetView zoomScale="50" zoomScaleNormal="50" workbookViewId="0"/>
  </sheetViews>
  <sheetFormatPr defaultColWidth="9.15234375" defaultRowHeight="12.45" x14ac:dyDescent="0.3"/>
  <cols>
    <col min="1" max="6" width="24" style="21" customWidth="1"/>
    <col min="7" max="16384" width="9.15234375" style="21"/>
  </cols>
  <sheetData>
    <row r="1" spans="1:16372" s="87" customFormat="1" ht="27.75" customHeight="1" x14ac:dyDescent="0.3">
      <c r="A1" s="189" t="s">
        <v>19</v>
      </c>
      <c r="B1" s="21"/>
      <c r="C1" s="19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row>
    <row r="2" spans="1:16372" ht="40" customHeight="1" x14ac:dyDescent="0.3">
      <c r="A2" s="668" t="s">
        <v>569</v>
      </c>
      <c r="B2" s="668"/>
      <c r="C2" s="668"/>
      <c r="D2" s="668"/>
      <c r="E2" s="668"/>
      <c r="F2" s="668"/>
    </row>
    <row r="3" spans="1:16372" ht="47.25" customHeight="1" x14ac:dyDescent="0.3">
      <c r="A3" s="553" t="str">
        <f>Overview!B4&amp;" - Illustrative LLFs in Electricity North West Area (GSP Group_G) for year beginning "&amp;Overview!D4&amp;""</f>
        <v>Indigo Power Limited - Illustrative LLFs in Electricity North West Area (GSP Group_G) for year beginning 1 April 2023</v>
      </c>
      <c r="B3" s="653"/>
      <c r="C3" s="653"/>
      <c r="D3" s="653"/>
      <c r="E3" s="654"/>
    </row>
    <row r="4" spans="1:16372" ht="19.5" customHeight="1" x14ac:dyDescent="0.3">
      <c r="A4" s="683" t="s">
        <v>13</v>
      </c>
      <c r="B4" s="192" t="s">
        <v>5</v>
      </c>
      <c r="C4" s="192" t="s">
        <v>6</v>
      </c>
      <c r="D4" s="192" t="s">
        <v>7</v>
      </c>
      <c r="E4" s="192" t="s">
        <v>8</v>
      </c>
    </row>
    <row r="5" spans="1:16372" ht="36.75" customHeight="1" x14ac:dyDescent="0.3">
      <c r="A5" s="684"/>
      <c r="B5" s="192"/>
      <c r="C5" s="192"/>
      <c r="D5" s="192"/>
      <c r="E5" s="192"/>
    </row>
    <row r="6" spans="1:16372" ht="45" customHeight="1" x14ac:dyDescent="0.3">
      <c r="A6" s="95"/>
      <c r="B6" s="95"/>
      <c r="C6" s="95"/>
      <c r="D6" s="95"/>
      <c r="E6" s="95"/>
    </row>
    <row r="7" spans="1:16372" ht="45" customHeight="1" x14ac:dyDescent="0.3">
      <c r="A7" s="95"/>
      <c r="B7" s="95"/>
      <c r="C7" s="202"/>
      <c r="D7" s="95"/>
      <c r="E7" s="95"/>
    </row>
    <row r="8" spans="1:16372" ht="45" customHeight="1" x14ac:dyDescent="0.3">
      <c r="A8" s="95"/>
      <c r="B8" s="95"/>
      <c r="C8" s="95"/>
      <c r="D8" s="95"/>
      <c r="E8" s="95"/>
    </row>
    <row r="9" spans="1:16372" ht="25.5" customHeight="1" x14ac:dyDescent="0.3">
      <c r="A9" s="170" t="s">
        <v>14</v>
      </c>
      <c r="B9" s="685" t="s">
        <v>15</v>
      </c>
      <c r="C9" s="686"/>
      <c r="D9" s="686"/>
      <c r="E9" s="687"/>
    </row>
    <row r="10" spans="1:16372" s="193" customFormat="1" ht="12.75" customHeight="1" x14ac:dyDescent="0.3">
      <c r="A10" s="204"/>
      <c r="B10" s="205"/>
      <c r="C10" s="205"/>
      <c r="D10" s="205"/>
      <c r="E10" s="205"/>
    </row>
    <row r="11" spans="1:16372" ht="12.75" customHeight="1" x14ac:dyDescent="0.3">
      <c r="B11" s="205"/>
      <c r="C11" s="205"/>
      <c r="D11" s="205"/>
      <c r="E11" s="205"/>
    </row>
    <row r="12" spans="1:16372" ht="22.5" customHeight="1" x14ac:dyDescent="0.3">
      <c r="A12" s="581" t="s">
        <v>293</v>
      </c>
      <c r="B12" s="677"/>
      <c r="C12" s="677"/>
      <c r="D12" s="677"/>
      <c r="E12" s="677"/>
      <c r="F12" s="582"/>
    </row>
    <row r="13" spans="1:16372" ht="22.5" customHeight="1" x14ac:dyDescent="0.3">
      <c r="A13" s="581" t="s">
        <v>4</v>
      </c>
      <c r="B13" s="677"/>
      <c r="C13" s="677"/>
      <c r="D13" s="677"/>
      <c r="E13" s="677"/>
      <c r="F13" s="582"/>
    </row>
    <row r="14" spans="1:16372" ht="33" customHeight="1" x14ac:dyDescent="0.3">
      <c r="A14" s="192" t="s">
        <v>294</v>
      </c>
      <c r="B14" s="192" t="s">
        <v>5</v>
      </c>
      <c r="C14" s="192" t="s">
        <v>6</v>
      </c>
      <c r="D14" s="192" t="s">
        <v>7</v>
      </c>
      <c r="E14" s="192" t="s">
        <v>8</v>
      </c>
      <c r="F14" s="192" t="s">
        <v>9</v>
      </c>
    </row>
    <row r="15" spans="1:16372" x14ac:dyDescent="0.3">
      <c r="A15" s="207" t="s">
        <v>547</v>
      </c>
      <c r="B15" s="343"/>
      <c r="C15" s="343"/>
      <c r="D15" s="343"/>
      <c r="E15" s="343"/>
      <c r="F15" s="352"/>
    </row>
    <row r="16" spans="1:16372" ht="22.5" customHeight="1" x14ac:dyDescent="0.3">
      <c r="A16" s="207" t="s">
        <v>548</v>
      </c>
      <c r="B16" s="343"/>
      <c r="C16" s="343"/>
      <c r="D16" s="343"/>
      <c r="E16" s="343"/>
      <c r="F16" s="345"/>
    </row>
    <row r="17" spans="1:7" ht="22.5" customHeight="1" x14ac:dyDescent="0.3">
      <c r="A17" s="207" t="s">
        <v>549</v>
      </c>
      <c r="B17" s="343"/>
      <c r="C17" s="343"/>
      <c r="D17" s="343"/>
      <c r="E17" s="343"/>
      <c r="F17" s="345"/>
    </row>
    <row r="18" spans="1:7" ht="22.5" customHeight="1" x14ac:dyDescent="0.3">
      <c r="A18" s="207" t="s">
        <v>543</v>
      </c>
      <c r="B18" s="343"/>
      <c r="C18" s="343"/>
      <c r="D18" s="343"/>
      <c r="E18" s="343"/>
      <c r="F18" s="345" t="s">
        <v>480</v>
      </c>
      <c r="G18" s="350">
        <v>4</v>
      </c>
    </row>
    <row r="19" spans="1:7" ht="22.5" customHeight="1" x14ac:dyDescent="0.3">
      <c r="A19" s="207" t="s">
        <v>544</v>
      </c>
      <c r="B19" s="343">
        <v>1.0349999999999999</v>
      </c>
      <c r="C19" s="343">
        <v>1.0329999999999999</v>
      </c>
      <c r="D19" s="343">
        <v>1.028</v>
      </c>
      <c r="E19" s="343">
        <v>1.03</v>
      </c>
      <c r="F19" s="345" t="s">
        <v>480</v>
      </c>
      <c r="G19" s="350">
        <v>3</v>
      </c>
    </row>
    <row r="20" spans="1:7" ht="22.5" customHeight="1" x14ac:dyDescent="0.3">
      <c r="A20" s="207" t="s">
        <v>545</v>
      </c>
      <c r="B20" s="343"/>
      <c r="C20" s="343"/>
      <c r="D20" s="343"/>
      <c r="E20" s="343"/>
      <c r="F20" s="345" t="s">
        <v>480</v>
      </c>
      <c r="G20" s="350">
        <v>2</v>
      </c>
    </row>
    <row r="21" spans="1:7" ht="120.45" customHeight="1" x14ac:dyDescent="0.3">
      <c r="A21" s="207" t="s">
        <v>546</v>
      </c>
      <c r="B21" s="343">
        <v>1.0960000000000001</v>
      </c>
      <c r="C21" s="343">
        <v>1.087</v>
      </c>
      <c r="D21" s="343">
        <v>1.0740000000000001</v>
      </c>
      <c r="E21" s="343">
        <v>1.081</v>
      </c>
      <c r="F21" s="345" t="s">
        <v>480</v>
      </c>
      <c r="G21" s="350">
        <v>1</v>
      </c>
    </row>
    <row r="22" spans="1:7" ht="12.75" customHeight="1" x14ac:dyDescent="0.3"/>
    <row r="23" spans="1:7" ht="22.5" customHeight="1" x14ac:dyDescent="0.3">
      <c r="A23" s="581" t="s">
        <v>295</v>
      </c>
      <c r="B23" s="677"/>
      <c r="C23" s="677"/>
      <c r="D23" s="677"/>
      <c r="E23" s="677"/>
      <c r="F23" s="582"/>
    </row>
    <row r="24" spans="1:7" ht="22.5" customHeight="1" x14ac:dyDescent="0.3">
      <c r="A24" s="581" t="s">
        <v>11</v>
      </c>
      <c r="B24" s="677"/>
      <c r="C24" s="677"/>
      <c r="D24" s="677"/>
      <c r="E24" s="677"/>
      <c r="F24" s="582"/>
    </row>
    <row r="25" spans="1:7" ht="33" customHeight="1" x14ac:dyDescent="0.3">
      <c r="A25" s="192" t="s">
        <v>10</v>
      </c>
      <c r="B25" s="192" t="s">
        <v>5</v>
      </c>
      <c r="C25" s="192" t="s">
        <v>6</v>
      </c>
      <c r="D25" s="192" t="s">
        <v>7</v>
      </c>
      <c r="E25" s="192" t="s">
        <v>8</v>
      </c>
      <c r="F25" s="192" t="s">
        <v>9</v>
      </c>
    </row>
    <row r="26" spans="1:7" ht="22.5" customHeight="1" x14ac:dyDescent="0.3">
      <c r="A26" s="207"/>
      <c r="B26" s="216"/>
      <c r="C26" s="216"/>
      <c r="D26" s="216"/>
      <c r="E26" s="216"/>
      <c r="F26" s="217"/>
    </row>
    <row r="27" spans="1:7" ht="12.75" customHeight="1" x14ac:dyDescent="0.3"/>
    <row r="28" spans="1:7" ht="22.5" customHeight="1" x14ac:dyDescent="0.3">
      <c r="A28" s="581" t="s">
        <v>295</v>
      </c>
      <c r="B28" s="677"/>
      <c r="C28" s="677"/>
      <c r="D28" s="677"/>
      <c r="E28" s="677"/>
      <c r="F28" s="582"/>
    </row>
    <row r="29" spans="1:7" ht="22.5" customHeight="1" x14ac:dyDescent="0.3">
      <c r="A29" s="581" t="s">
        <v>12</v>
      </c>
      <c r="B29" s="677"/>
      <c r="C29" s="677"/>
      <c r="D29" s="677"/>
      <c r="E29" s="677"/>
      <c r="F29" s="582"/>
    </row>
    <row r="30" spans="1:7" ht="33" customHeight="1" x14ac:dyDescent="0.3">
      <c r="A30" s="192" t="s">
        <v>10</v>
      </c>
      <c r="B30" s="192" t="s">
        <v>5</v>
      </c>
      <c r="C30" s="192" t="s">
        <v>6</v>
      </c>
      <c r="D30" s="192" t="s">
        <v>7</v>
      </c>
      <c r="E30" s="192" t="s">
        <v>8</v>
      </c>
      <c r="F30" s="192" t="s">
        <v>9</v>
      </c>
    </row>
    <row r="31" spans="1:7" ht="22.5" customHeight="1" x14ac:dyDescent="0.3">
      <c r="A31" s="207"/>
      <c r="B31" s="218"/>
      <c r="C31" s="218"/>
      <c r="D31" s="218"/>
      <c r="E31" s="218"/>
      <c r="F31" s="217"/>
    </row>
  </sheetData>
  <mergeCells count="10">
    <mergeCell ref="A2:F2"/>
    <mergeCell ref="A23:F23"/>
    <mergeCell ref="A24:F24"/>
    <mergeCell ref="A28:F28"/>
    <mergeCell ref="A29:F29"/>
    <mergeCell ref="A3:E3"/>
    <mergeCell ref="A4:A5"/>
    <mergeCell ref="B9:E9"/>
    <mergeCell ref="A12:F12"/>
    <mergeCell ref="A13:F13"/>
  </mergeCells>
  <hyperlinks>
    <hyperlink ref="A1" location="Overview!A1" display="Back to Overview" xr:uid="{00000000-0004-0000-20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0CFE-D775-4DB6-8148-E81697382967}">
  <sheetPr codeName="Sheet41">
    <pageSetUpPr fitToPage="1"/>
  </sheetPr>
  <dimension ref="A1:G119"/>
  <sheetViews>
    <sheetView zoomScale="50" zoomScaleNormal="50" workbookViewId="0">
      <selection activeCell="A3" sqref="A3:E3"/>
    </sheetView>
  </sheetViews>
  <sheetFormatPr defaultColWidth="9.15234375" defaultRowHeight="12.45" x14ac:dyDescent="0.3"/>
  <cols>
    <col min="1" max="6" width="24" style="21" customWidth="1"/>
    <col min="7" max="16384" width="9.15234375" style="21"/>
  </cols>
  <sheetData>
    <row r="1" spans="1:7" ht="27.75" customHeight="1" x14ac:dyDescent="0.3">
      <c r="A1" s="189" t="s">
        <v>19</v>
      </c>
      <c r="C1" s="190"/>
    </row>
    <row r="2" spans="1:7" ht="40" customHeight="1" x14ac:dyDescent="0.3">
      <c r="A2" s="668" t="s">
        <v>569</v>
      </c>
      <c r="B2" s="668"/>
      <c r="C2" s="668"/>
      <c r="D2" s="668"/>
      <c r="E2" s="668"/>
      <c r="F2" s="668"/>
    </row>
    <row r="3" spans="1:7" ht="47.25" customHeight="1" x14ac:dyDescent="0.3">
      <c r="A3" s="553" t="str">
        <f>Overview!B4&amp;" - Illustrative LLFs in SSE SEPD Area (GSP Group_H) for year beginning "&amp;Overview!D4&amp;""</f>
        <v>Indigo Power Limited - Illustrative LLFs in SSE SEPD Area (GSP Group_H) for year beginning 1 April 2023</v>
      </c>
      <c r="B3" s="653"/>
      <c r="C3" s="653"/>
      <c r="D3" s="653"/>
      <c r="E3" s="654"/>
    </row>
    <row r="4" spans="1:7" ht="19.5" customHeight="1" x14ac:dyDescent="0.3">
      <c r="A4" s="678" t="s">
        <v>13</v>
      </c>
      <c r="B4" s="12" t="s">
        <v>5</v>
      </c>
      <c r="C4" s="12" t="s">
        <v>6</v>
      </c>
      <c r="D4" s="12" t="s">
        <v>7</v>
      </c>
      <c r="E4" s="12" t="s">
        <v>8</v>
      </c>
    </row>
    <row r="5" spans="1:7" ht="40.5" customHeight="1" x14ac:dyDescent="0.3">
      <c r="A5" s="679"/>
      <c r="B5" s="12"/>
      <c r="C5" s="12"/>
      <c r="D5" s="12"/>
      <c r="E5" s="12"/>
    </row>
    <row r="6" spans="1:7" ht="45" customHeight="1" x14ac:dyDescent="0.3">
      <c r="A6" s="295"/>
      <c r="B6" s="363"/>
      <c r="C6" s="364"/>
      <c r="D6" s="301"/>
      <c r="E6" s="365"/>
    </row>
    <row r="7" spans="1:7" ht="45" customHeight="1" x14ac:dyDescent="0.3">
      <c r="A7" s="295"/>
      <c r="B7" s="366"/>
      <c r="C7" s="366"/>
      <c r="D7" s="301"/>
      <c r="E7" s="365"/>
    </row>
    <row r="8" spans="1:7" ht="45" customHeight="1" x14ac:dyDescent="0.3">
      <c r="A8" s="272" t="s">
        <v>14</v>
      </c>
      <c r="B8" s="691" t="s">
        <v>15</v>
      </c>
      <c r="C8" s="692"/>
      <c r="D8" s="692"/>
      <c r="E8" s="693"/>
    </row>
    <row r="9" spans="1:7" s="193" customFormat="1" ht="12.75" customHeight="1" x14ac:dyDescent="0.3">
      <c r="A9" s="204"/>
      <c r="B9" s="205"/>
      <c r="C9" s="205"/>
      <c r="D9" s="205"/>
      <c r="E9" s="205"/>
      <c r="G9" s="21"/>
    </row>
    <row r="10" spans="1:7" ht="12.75" customHeight="1" x14ac:dyDescent="0.3">
      <c r="B10" s="205"/>
      <c r="C10" s="205"/>
      <c r="D10" s="205"/>
      <c r="E10" s="205"/>
    </row>
    <row r="11" spans="1:7" ht="22.5" customHeight="1" x14ac:dyDescent="0.3">
      <c r="A11" s="581" t="s">
        <v>293</v>
      </c>
      <c r="B11" s="677"/>
      <c r="C11" s="677"/>
      <c r="D11" s="677"/>
      <c r="E11" s="677"/>
      <c r="F11" s="582"/>
    </row>
    <row r="12" spans="1:7" ht="22.5" customHeight="1" x14ac:dyDescent="0.3">
      <c r="A12" s="581" t="s">
        <v>4</v>
      </c>
      <c r="B12" s="677"/>
      <c r="C12" s="677"/>
      <c r="D12" s="677"/>
      <c r="E12" s="677"/>
      <c r="F12" s="582"/>
    </row>
    <row r="13" spans="1:7" ht="33" customHeight="1" x14ac:dyDescent="0.3">
      <c r="A13" s="283" t="s">
        <v>294</v>
      </c>
      <c r="B13" s="283" t="s">
        <v>5</v>
      </c>
      <c r="C13" s="283" t="s">
        <v>6</v>
      </c>
      <c r="D13" s="283" t="s">
        <v>7</v>
      </c>
      <c r="E13" s="283" t="s">
        <v>8</v>
      </c>
      <c r="F13" s="283" t="s">
        <v>9</v>
      </c>
    </row>
    <row r="14" spans="1:7" x14ac:dyDescent="0.3">
      <c r="A14" s="305" t="s">
        <v>550</v>
      </c>
      <c r="B14" s="353">
        <v>1.0880000000000001</v>
      </c>
      <c r="C14" s="353">
        <v>1.0820000000000001</v>
      </c>
      <c r="D14" s="353">
        <v>1.0740000000000001</v>
      </c>
      <c r="E14" s="353">
        <v>1.071</v>
      </c>
      <c r="F14" s="345" t="s">
        <v>480</v>
      </c>
    </row>
    <row r="15" spans="1:7" ht="22.5" customHeight="1" x14ac:dyDescent="0.3">
      <c r="A15" s="305" t="s">
        <v>551</v>
      </c>
      <c r="B15" s="353"/>
      <c r="C15" s="353"/>
      <c r="D15" s="353"/>
      <c r="E15" s="353"/>
      <c r="F15" s="345" t="s">
        <v>480</v>
      </c>
    </row>
    <row r="16" spans="1:7" ht="22.5" customHeight="1" x14ac:dyDescent="0.3">
      <c r="A16" s="305" t="s">
        <v>552</v>
      </c>
      <c r="B16" s="353">
        <v>1.028</v>
      </c>
      <c r="C16" s="353">
        <v>1.026</v>
      </c>
      <c r="D16" s="353">
        <v>1.0229999999999999</v>
      </c>
      <c r="E16" s="353">
        <v>1.02</v>
      </c>
      <c r="F16" s="345" t="s">
        <v>480</v>
      </c>
    </row>
    <row r="17" spans="1:6" ht="22.5" customHeight="1" x14ac:dyDescent="0.3">
      <c r="A17" s="305" t="s">
        <v>553</v>
      </c>
      <c r="B17" s="353"/>
      <c r="C17" s="353"/>
      <c r="D17" s="353"/>
      <c r="E17" s="353"/>
      <c r="F17" s="345" t="s">
        <v>603</v>
      </c>
    </row>
    <row r="18" spans="1:6" ht="30" customHeight="1" x14ac:dyDescent="0.3">
      <c r="A18" s="305" t="s">
        <v>554</v>
      </c>
      <c r="B18" s="353">
        <v>1.014</v>
      </c>
      <c r="C18" s="353">
        <v>1.0129999999999999</v>
      </c>
      <c r="D18" s="353">
        <v>1.0109999999999999</v>
      </c>
      <c r="E18" s="353">
        <v>1.01</v>
      </c>
      <c r="F18" s="349" t="s">
        <v>618</v>
      </c>
    </row>
    <row r="19" spans="1:6" ht="30" customHeight="1" x14ac:dyDescent="0.3">
      <c r="A19" s="305" t="s">
        <v>555</v>
      </c>
      <c r="B19" s="353"/>
      <c r="C19" s="353"/>
      <c r="D19" s="353"/>
      <c r="E19" s="353"/>
      <c r="F19" s="349"/>
    </row>
    <row r="20" spans="1:6" ht="30" customHeight="1" x14ac:dyDescent="0.3">
      <c r="A20" s="305" t="s">
        <v>556</v>
      </c>
      <c r="B20" s="353"/>
      <c r="C20" s="353"/>
      <c r="D20" s="353"/>
      <c r="E20" s="353"/>
      <c r="F20" s="349"/>
    </row>
    <row r="21" spans="1:6" ht="12.75" customHeight="1" x14ac:dyDescent="0.3"/>
    <row r="22" spans="1:6" ht="22.5" customHeight="1" x14ac:dyDescent="0.3">
      <c r="A22" s="581" t="s">
        <v>295</v>
      </c>
      <c r="B22" s="677"/>
      <c r="C22" s="677"/>
      <c r="D22" s="677"/>
      <c r="E22" s="677"/>
      <c r="F22" s="582"/>
    </row>
    <row r="23" spans="1:6" ht="22.5" customHeight="1" x14ac:dyDescent="0.3">
      <c r="A23" s="581" t="s">
        <v>11</v>
      </c>
      <c r="B23" s="677"/>
      <c r="C23" s="677"/>
      <c r="D23" s="677"/>
      <c r="E23" s="677"/>
      <c r="F23" s="582"/>
    </row>
    <row r="24" spans="1:6" ht="33" customHeight="1" x14ac:dyDescent="0.3">
      <c r="A24" s="283" t="s">
        <v>10</v>
      </c>
      <c r="B24" s="283" t="s">
        <v>5</v>
      </c>
      <c r="C24" s="283" t="s">
        <v>6</v>
      </c>
      <c r="D24" s="283" t="s">
        <v>7</v>
      </c>
      <c r="E24" s="283" t="s">
        <v>8</v>
      </c>
      <c r="F24" s="283" t="s">
        <v>9</v>
      </c>
    </row>
    <row r="25" spans="1:6" ht="22.5" customHeight="1" x14ac:dyDescent="0.3">
      <c r="A25" s="207"/>
      <c r="B25" s="209"/>
      <c r="C25" s="209"/>
      <c r="D25" s="209"/>
      <c r="E25" s="209"/>
      <c r="F25" s="215"/>
    </row>
    <row r="26" spans="1:6" ht="12.75" customHeight="1" x14ac:dyDescent="0.3"/>
    <row r="27" spans="1:6" ht="22.5" customHeight="1" x14ac:dyDescent="0.3">
      <c r="A27" s="581" t="s">
        <v>295</v>
      </c>
      <c r="B27" s="677"/>
      <c r="C27" s="677"/>
      <c r="D27" s="677"/>
      <c r="E27" s="677"/>
      <c r="F27" s="582"/>
    </row>
    <row r="28" spans="1:6" ht="22.5" customHeight="1" x14ac:dyDescent="0.3">
      <c r="A28" s="581" t="s">
        <v>12</v>
      </c>
      <c r="B28" s="677"/>
      <c r="C28" s="677"/>
      <c r="D28" s="677"/>
      <c r="E28" s="677"/>
      <c r="F28" s="582"/>
    </row>
    <row r="29" spans="1:6" ht="33" customHeight="1" x14ac:dyDescent="0.3">
      <c r="A29" s="283" t="s">
        <v>10</v>
      </c>
      <c r="B29" s="283" t="s">
        <v>5</v>
      </c>
      <c r="C29" s="283" t="s">
        <v>6</v>
      </c>
      <c r="D29" s="283" t="s">
        <v>7</v>
      </c>
      <c r="E29" s="283" t="s">
        <v>8</v>
      </c>
      <c r="F29" s="283" t="s">
        <v>9</v>
      </c>
    </row>
    <row r="30" spans="1:6" ht="22.5" customHeight="1" x14ac:dyDescent="0.3">
      <c r="A30" s="207"/>
      <c r="B30" s="197"/>
      <c r="C30" s="197"/>
      <c r="D30" s="197"/>
      <c r="E30" s="197"/>
      <c r="F30" s="209"/>
    </row>
    <row r="31" spans="1:6" ht="22.5" customHeight="1" x14ac:dyDescent="0.3"/>
    <row r="32" spans="1:6" ht="22.5" customHeight="1" x14ac:dyDescent="0.3"/>
    <row r="33" ht="22.5" customHeight="1" x14ac:dyDescent="0.3"/>
    <row r="34" ht="22.5" customHeight="1" x14ac:dyDescent="0.3"/>
    <row r="35" ht="22.5" customHeight="1" x14ac:dyDescent="0.3"/>
    <row r="36" ht="22.5" customHeight="1" x14ac:dyDescent="0.3"/>
    <row r="37" ht="22.5" customHeight="1" x14ac:dyDescent="0.3"/>
    <row r="38" ht="22.5" customHeight="1" x14ac:dyDescent="0.3"/>
    <row r="39" ht="22.5" customHeight="1" x14ac:dyDescent="0.3"/>
    <row r="40" ht="22.5" customHeight="1" x14ac:dyDescent="0.3"/>
    <row r="41" ht="22.5" customHeight="1" x14ac:dyDescent="0.3"/>
    <row r="42" ht="22.5" customHeight="1" x14ac:dyDescent="0.3"/>
    <row r="43" ht="22.5" customHeight="1" x14ac:dyDescent="0.3"/>
    <row r="44" ht="22.5" customHeight="1" x14ac:dyDescent="0.3"/>
    <row r="45" ht="22.5" customHeight="1" x14ac:dyDescent="0.3"/>
    <row r="46" ht="22.5" customHeight="1" x14ac:dyDescent="0.3"/>
    <row r="47" ht="22.5" customHeight="1" x14ac:dyDescent="0.3"/>
    <row r="48" ht="22.5" customHeight="1" x14ac:dyDescent="0.3"/>
    <row r="49" ht="22.5" customHeight="1" x14ac:dyDescent="0.3"/>
    <row r="50" ht="22.5" customHeight="1" x14ac:dyDescent="0.3"/>
    <row r="51" ht="22.5" customHeight="1" x14ac:dyDescent="0.3"/>
    <row r="52" ht="22.5" customHeight="1" x14ac:dyDescent="0.3"/>
    <row r="53" ht="22.5" customHeight="1" x14ac:dyDescent="0.3"/>
    <row r="54" ht="22.5" customHeight="1" x14ac:dyDescent="0.3"/>
    <row r="55" ht="22.5" customHeight="1" x14ac:dyDescent="0.3"/>
    <row r="56" ht="22.5" customHeight="1" x14ac:dyDescent="0.3"/>
    <row r="57" ht="22.5" customHeight="1" x14ac:dyDescent="0.3"/>
    <row r="58" ht="22.5" customHeight="1" x14ac:dyDescent="0.3"/>
    <row r="59" ht="22.5" customHeight="1" x14ac:dyDescent="0.3"/>
    <row r="60" ht="22.5" customHeight="1" x14ac:dyDescent="0.3"/>
    <row r="61" ht="22.5" customHeight="1" x14ac:dyDescent="0.3"/>
    <row r="62" ht="22.5" customHeight="1" x14ac:dyDescent="0.3"/>
    <row r="63" ht="22.5" customHeight="1" x14ac:dyDescent="0.3"/>
    <row r="64" ht="22.5" customHeight="1" x14ac:dyDescent="0.3"/>
    <row r="65" ht="22.5" customHeight="1" x14ac:dyDescent="0.3"/>
    <row r="66" ht="22.5" customHeight="1" x14ac:dyDescent="0.3"/>
    <row r="67" ht="22.5" customHeight="1" x14ac:dyDescent="0.3"/>
    <row r="68" ht="22.5" customHeight="1" x14ac:dyDescent="0.3"/>
    <row r="69" ht="22.5" customHeight="1" x14ac:dyDescent="0.3"/>
    <row r="70" ht="22.5" customHeight="1" x14ac:dyDescent="0.3"/>
    <row r="71" ht="22.5" customHeight="1" x14ac:dyDescent="0.3"/>
    <row r="72" ht="22.5" customHeight="1" x14ac:dyDescent="0.3"/>
    <row r="73" ht="22.5" customHeight="1" x14ac:dyDescent="0.3"/>
    <row r="74" ht="22.5" customHeight="1" x14ac:dyDescent="0.3"/>
    <row r="75" ht="22.5" customHeight="1" x14ac:dyDescent="0.3"/>
    <row r="76" ht="22.5" customHeight="1" x14ac:dyDescent="0.3"/>
    <row r="77" ht="22.5" customHeight="1" x14ac:dyDescent="0.3"/>
    <row r="78" ht="22.5" customHeight="1" x14ac:dyDescent="0.3"/>
    <row r="79" ht="22.5" customHeight="1" x14ac:dyDescent="0.3"/>
    <row r="80" ht="22.5" customHeight="1" x14ac:dyDescent="0.3"/>
    <row r="81" ht="22.5" customHeight="1" x14ac:dyDescent="0.3"/>
    <row r="82" ht="22.5" customHeight="1" x14ac:dyDescent="0.3"/>
    <row r="83" ht="22.5" customHeight="1" x14ac:dyDescent="0.3"/>
    <row r="84" ht="22.5" customHeight="1" x14ac:dyDescent="0.3"/>
    <row r="85" ht="22.5" customHeight="1" x14ac:dyDescent="0.3"/>
    <row r="86" ht="22.5" customHeight="1" x14ac:dyDescent="0.3"/>
    <row r="87" ht="22.5" customHeight="1" x14ac:dyDescent="0.3"/>
    <row r="88" ht="22.5" customHeight="1" x14ac:dyDescent="0.3"/>
    <row r="89" ht="22.5" customHeight="1" x14ac:dyDescent="0.3"/>
    <row r="90" ht="22.5" customHeight="1" x14ac:dyDescent="0.3"/>
    <row r="91" ht="22.5" customHeight="1" x14ac:dyDescent="0.3"/>
    <row r="92" ht="22.5" customHeight="1" x14ac:dyDescent="0.3"/>
    <row r="93" ht="22.5" customHeight="1" x14ac:dyDescent="0.3"/>
    <row r="94" ht="22.5" customHeight="1" x14ac:dyDescent="0.3"/>
    <row r="95" ht="22.5" customHeight="1" x14ac:dyDescent="0.3"/>
    <row r="96" ht="22.5" customHeight="1" x14ac:dyDescent="0.3"/>
    <row r="97" ht="22.5" customHeight="1" x14ac:dyDescent="0.3"/>
    <row r="98" ht="22.5" customHeight="1" x14ac:dyDescent="0.3"/>
    <row r="99" ht="22.5" customHeight="1" x14ac:dyDescent="0.3"/>
    <row r="100" ht="22.5" customHeight="1" x14ac:dyDescent="0.3"/>
    <row r="101" ht="22.5" customHeight="1" x14ac:dyDescent="0.3"/>
    <row r="102" ht="22.5" customHeight="1" x14ac:dyDescent="0.3"/>
    <row r="103" ht="22.5" customHeight="1" x14ac:dyDescent="0.3"/>
    <row r="104" ht="22.5" customHeight="1" x14ac:dyDescent="0.3"/>
    <row r="105" ht="22.5" customHeight="1" x14ac:dyDescent="0.3"/>
    <row r="106" ht="22.5" customHeight="1" x14ac:dyDescent="0.3"/>
    <row r="107" ht="22.5" customHeight="1" x14ac:dyDescent="0.3"/>
    <row r="108" ht="22.5" customHeight="1" x14ac:dyDescent="0.3"/>
    <row r="109" ht="22.5" customHeight="1" x14ac:dyDescent="0.3"/>
    <row r="110" ht="22.5" customHeight="1" x14ac:dyDescent="0.3"/>
    <row r="111" ht="22.5" customHeight="1" x14ac:dyDescent="0.3"/>
    <row r="112" ht="22.5" customHeight="1" x14ac:dyDescent="0.3"/>
    <row r="113" ht="22.5" customHeight="1" x14ac:dyDescent="0.3"/>
    <row r="114" ht="22.5" customHeight="1" x14ac:dyDescent="0.3"/>
    <row r="115" ht="22.5" customHeight="1" x14ac:dyDescent="0.3"/>
    <row r="116" ht="22.5" customHeight="1" x14ac:dyDescent="0.3"/>
    <row r="117" ht="22.5" customHeight="1" x14ac:dyDescent="0.3"/>
    <row r="118" ht="22.5" customHeight="1" x14ac:dyDescent="0.3"/>
    <row r="119" ht="22.5" customHeight="1" x14ac:dyDescent="0.3"/>
  </sheetData>
  <mergeCells count="10">
    <mergeCell ref="A2:F2"/>
    <mergeCell ref="A23:F23"/>
    <mergeCell ref="A27:F27"/>
    <mergeCell ref="A28:F28"/>
    <mergeCell ref="B8:E8"/>
    <mergeCell ref="A3:E3"/>
    <mergeCell ref="A4:A5"/>
    <mergeCell ref="A11:F11"/>
    <mergeCell ref="A12:F12"/>
    <mergeCell ref="A22:F22"/>
  </mergeCells>
  <hyperlinks>
    <hyperlink ref="A1" location="Overview!A1" display="Back to Overview" xr:uid="{D732D5E1-8732-48D1-94C3-98D0878F839D}"/>
  </hyperlinks>
  <pageMargins left="0.70866141732283472" right="0.70866141732283472" top="0.74803149606299213" bottom="0.74803149606299213" header="0.31496062992125984" footer="0.31496062992125984"/>
  <pageSetup paperSize="9" scale="57" fitToHeight="0" orientation="portrait" r:id="rId1"/>
  <headerFooter differentFirst="1" scaleWithDoc="0">
    <oddHeader>&amp;L&amp;"Trebuchet MS,Regular"
&amp;"Trebuchet MS,Bold"Annex 5&amp;"Trebuchet MS,Regular" – Schedule of Line Loss Factors</oddHeader>
    <oddFooter>&amp;L&amp;"Trebuchet MS,Regular"&amp;8NORTHERN POWERGRID (NORTHEAST) LTD&amp;R&amp;"Trebuchet MS,Regular"&amp;8DECEMBER 2016 FINAL – V1.0</oddFooter>
    <firstHeader>&amp;L
Annex 5 – Schedule of Line Loss Factors</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7"/>
  <sheetViews>
    <sheetView zoomScale="50" zoomScaleNormal="50" workbookViewId="0">
      <selection activeCell="D10" sqref="D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5" width="15.53515625" style="1" customWidth="1"/>
    <col min="16" max="16384" width="9.15234375" style="1"/>
  </cols>
  <sheetData>
    <row r="1" spans="1:23" ht="40" customHeight="1" x14ac:dyDescent="0.3">
      <c r="A1" s="56" t="s">
        <v>19</v>
      </c>
      <c r="B1" s="45"/>
      <c r="C1" s="45"/>
      <c r="D1" s="45"/>
      <c r="E1" s="551" t="s">
        <v>463</v>
      </c>
      <c r="F1" s="551"/>
      <c r="G1" s="551"/>
      <c r="H1" s="551"/>
      <c r="I1" s="551"/>
      <c r="J1" s="551"/>
      <c r="K1" s="551"/>
    </row>
    <row r="2" spans="1:23" ht="40" customHeight="1" x14ac:dyDescent="0.3">
      <c r="A2" s="553" t="str">
        <f>Overview!B4&amp;" - Effective from "&amp;Overview!D4&amp;" - Final LV and HV charges in UKPN LPN Area (GSP Group _C)"</f>
        <v>Indigo Power Limited - Effective from 1 April 2023 - Final LV and HV charges in UKPN LPN Area (GSP Group _C)</v>
      </c>
      <c r="B2" s="554"/>
      <c r="C2" s="554"/>
      <c r="D2" s="554"/>
      <c r="E2" s="554"/>
      <c r="F2" s="554"/>
      <c r="G2" s="554"/>
      <c r="H2" s="554"/>
      <c r="I2" s="554"/>
      <c r="J2" s="554"/>
      <c r="K2" s="555"/>
    </row>
    <row r="3" spans="1:23" s="47" customFormat="1" ht="40" customHeight="1" x14ac:dyDescent="0.3">
      <c r="A3" s="45"/>
      <c r="B3" s="45"/>
      <c r="C3" s="45"/>
      <c r="D3" s="45"/>
      <c r="E3" s="45"/>
      <c r="F3" s="45"/>
      <c r="G3" s="45"/>
      <c r="H3" s="45"/>
      <c r="I3" s="45"/>
      <c r="J3" s="45"/>
      <c r="K3" s="45"/>
    </row>
    <row r="4" spans="1:23" ht="40" customHeight="1" x14ac:dyDescent="0.3">
      <c r="A4" s="553" t="s">
        <v>308</v>
      </c>
      <c r="B4" s="554"/>
      <c r="C4" s="554"/>
      <c r="D4" s="554"/>
      <c r="E4" s="555"/>
      <c r="F4" s="45"/>
      <c r="G4" s="553" t="s">
        <v>307</v>
      </c>
      <c r="H4" s="554"/>
      <c r="I4" s="554"/>
      <c r="J4" s="554"/>
      <c r="K4" s="555"/>
      <c r="M4" s="255"/>
    </row>
    <row r="5" spans="1:23" ht="40" customHeight="1" x14ac:dyDescent="0.3">
      <c r="A5" s="468" t="s">
        <v>13</v>
      </c>
      <c r="B5" s="270" t="s">
        <v>299</v>
      </c>
      <c r="C5" s="563" t="s">
        <v>300</v>
      </c>
      <c r="D5" s="564"/>
      <c r="E5" s="42" t="s">
        <v>301</v>
      </c>
      <c r="F5" s="45"/>
      <c r="G5" s="549"/>
      <c r="H5" s="550"/>
      <c r="I5" s="43" t="s">
        <v>305</v>
      </c>
      <c r="J5" s="44" t="s">
        <v>306</v>
      </c>
      <c r="K5" s="42" t="s">
        <v>301</v>
      </c>
      <c r="M5" s="255"/>
    </row>
    <row r="6" spans="1:23" ht="40" customHeight="1" x14ac:dyDescent="0.3">
      <c r="A6" s="105" t="s">
        <v>601</v>
      </c>
      <c r="B6" s="13" t="s">
        <v>622</v>
      </c>
      <c r="C6" s="542" t="s">
        <v>623</v>
      </c>
      <c r="D6" s="543" t="s">
        <v>603</v>
      </c>
      <c r="E6" s="86" t="s">
        <v>604</v>
      </c>
      <c r="F6" s="45" t="s">
        <v>603</v>
      </c>
      <c r="G6" s="537" t="s">
        <v>302</v>
      </c>
      <c r="H6" s="538" t="s">
        <v>603</v>
      </c>
      <c r="I6" s="13" t="s">
        <v>469</v>
      </c>
      <c r="J6" s="269" t="s">
        <v>624</v>
      </c>
      <c r="K6" s="86" t="s">
        <v>604</v>
      </c>
    </row>
    <row r="7" spans="1:23" ht="40" customHeight="1" x14ac:dyDescent="0.3">
      <c r="A7" s="105" t="s">
        <v>605</v>
      </c>
      <c r="B7" s="263" t="s">
        <v>603</v>
      </c>
      <c r="C7" s="556" t="s">
        <v>603</v>
      </c>
      <c r="D7" s="557" t="s">
        <v>603</v>
      </c>
      <c r="E7" s="269" t="s">
        <v>606</v>
      </c>
      <c r="F7" s="45" t="s">
        <v>603</v>
      </c>
      <c r="G7" s="537" t="s">
        <v>303</v>
      </c>
      <c r="H7" s="538" t="s">
        <v>603</v>
      </c>
      <c r="I7" s="13" t="s">
        <v>465</v>
      </c>
      <c r="J7" s="269" t="s">
        <v>602</v>
      </c>
      <c r="K7" s="86" t="s">
        <v>604</v>
      </c>
    </row>
    <row r="8" spans="1:23" ht="40" customHeight="1" x14ac:dyDescent="0.3">
      <c r="A8" s="262" t="s">
        <v>14</v>
      </c>
      <c r="B8" s="537" t="s">
        <v>466</v>
      </c>
      <c r="C8" s="546" t="s">
        <v>603</v>
      </c>
      <c r="D8" s="546" t="s">
        <v>603</v>
      </c>
      <c r="E8" s="538" t="s">
        <v>603</v>
      </c>
      <c r="F8" s="45" t="s">
        <v>603</v>
      </c>
      <c r="G8" s="537" t="s">
        <v>625</v>
      </c>
      <c r="H8" s="538" t="s">
        <v>603</v>
      </c>
      <c r="I8" s="263" t="s">
        <v>603</v>
      </c>
      <c r="J8" s="269" t="s">
        <v>608</v>
      </c>
      <c r="K8" s="86" t="s">
        <v>604</v>
      </c>
    </row>
    <row r="9" spans="1:23" s="47" customFormat="1" ht="40" customHeight="1" x14ac:dyDescent="0.3">
      <c r="A9" s="47" t="s">
        <v>603</v>
      </c>
      <c r="B9" s="47" t="s">
        <v>603</v>
      </c>
      <c r="C9" s="47" t="s">
        <v>603</v>
      </c>
      <c r="D9" s="47" t="s">
        <v>603</v>
      </c>
      <c r="E9" s="47" t="s">
        <v>480</v>
      </c>
      <c r="F9" s="45" t="s">
        <v>603</v>
      </c>
      <c r="G9" s="537" t="s">
        <v>626</v>
      </c>
      <c r="H9" s="538" t="s">
        <v>603</v>
      </c>
      <c r="I9" s="263" t="s">
        <v>603</v>
      </c>
      <c r="J9" s="263" t="s">
        <v>603</v>
      </c>
      <c r="K9" s="269" t="s">
        <v>606</v>
      </c>
    </row>
    <row r="10" spans="1:23" s="47" customFormat="1" ht="40" customHeight="1" x14ac:dyDescent="0.3">
      <c r="A10" s="45" t="s">
        <v>603</v>
      </c>
      <c r="B10" s="45" t="s">
        <v>603</v>
      </c>
      <c r="C10" s="45" t="s">
        <v>603</v>
      </c>
      <c r="D10" s="45" t="s">
        <v>480</v>
      </c>
      <c r="E10" s="45" t="s">
        <v>603</v>
      </c>
      <c r="F10" s="45" t="s">
        <v>603</v>
      </c>
      <c r="G10" s="537" t="s">
        <v>14</v>
      </c>
      <c r="H10" s="538" t="s">
        <v>603</v>
      </c>
      <c r="I10" s="537" t="s">
        <v>466</v>
      </c>
      <c r="J10" s="546" t="s">
        <v>603</v>
      </c>
      <c r="K10" s="538" t="s">
        <v>603</v>
      </c>
    </row>
    <row r="11" spans="1:23"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c r="M11" s="47"/>
      <c r="N11" s="47"/>
      <c r="O11" s="47"/>
      <c r="P11" s="47"/>
      <c r="Q11" s="47"/>
      <c r="R11" s="47"/>
      <c r="S11" s="47"/>
      <c r="T11" s="47"/>
      <c r="U11" s="47"/>
      <c r="V11" s="47"/>
      <c r="W11" s="47"/>
    </row>
    <row r="12" spans="1:23" ht="35.15" customHeight="1" x14ac:dyDescent="0.3">
      <c r="A12" s="10" t="s">
        <v>570</v>
      </c>
      <c r="B12" s="387" t="s">
        <v>953</v>
      </c>
      <c r="C12" s="434" t="s">
        <v>639</v>
      </c>
      <c r="D12" s="501">
        <v>9.5570000000000004</v>
      </c>
      <c r="E12" s="502">
        <v>0.98799999999999999</v>
      </c>
      <c r="F12" s="503">
        <v>0</v>
      </c>
      <c r="G12" s="489">
        <v>0</v>
      </c>
      <c r="H12" s="490"/>
      <c r="I12" s="490"/>
      <c r="J12" s="500"/>
      <c r="K12" s="26"/>
      <c r="M12" s="47"/>
      <c r="N12" s="47"/>
      <c r="O12" s="47"/>
      <c r="P12" s="47"/>
      <c r="Q12" s="47"/>
      <c r="R12" s="47"/>
      <c r="S12" s="47"/>
      <c r="T12" s="47"/>
      <c r="U12" s="47"/>
      <c r="V12" s="47"/>
      <c r="W12" s="47"/>
    </row>
    <row r="13" spans="1:23" ht="35.15" customHeight="1" x14ac:dyDescent="0.3">
      <c r="A13" s="10" t="s">
        <v>571</v>
      </c>
      <c r="B13" s="387" t="s">
        <v>954</v>
      </c>
      <c r="C13" s="391" t="s">
        <v>575</v>
      </c>
      <c r="D13" s="501">
        <v>9.9510000000000005</v>
      </c>
      <c r="E13" s="502">
        <v>1.383</v>
      </c>
      <c r="F13" s="503">
        <v>0.19800000000000001</v>
      </c>
      <c r="G13" s="490"/>
      <c r="H13" s="490"/>
      <c r="I13" s="490"/>
      <c r="J13" s="500"/>
      <c r="K13" s="26" t="s">
        <v>603</v>
      </c>
      <c r="M13" s="47"/>
      <c r="N13" s="47"/>
      <c r="O13" s="47"/>
      <c r="P13" s="47"/>
      <c r="Q13" s="47"/>
      <c r="R13" s="47"/>
      <c r="S13" s="47"/>
      <c r="T13" s="47"/>
      <c r="U13" s="47"/>
      <c r="V13" s="47"/>
      <c r="W13" s="47"/>
    </row>
    <row r="14" spans="1:23" ht="35.15" customHeight="1" x14ac:dyDescent="0.3">
      <c r="A14" s="10" t="s">
        <v>745</v>
      </c>
      <c r="B14" s="387" t="s">
        <v>955</v>
      </c>
      <c r="C14" s="409" t="s">
        <v>640</v>
      </c>
      <c r="D14" s="501">
        <v>5.8879999999999999</v>
      </c>
      <c r="E14" s="502">
        <v>0.81799999999999995</v>
      </c>
      <c r="F14" s="503">
        <v>0.11700000000000001</v>
      </c>
      <c r="G14" s="489">
        <v>3.45</v>
      </c>
      <c r="H14" s="490"/>
      <c r="I14" s="490"/>
      <c r="J14" s="500"/>
      <c r="K14" s="26"/>
      <c r="M14" s="47"/>
      <c r="N14" s="47"/>
      <c r="O14" s="47"/>
      <c r="P14" s="47"/>
      <c r="Q14" s="47"/>
      <c r="R14" s="47"/>
      <c r="S14" s="47"/>
      <c r="T14" s="47"/>
      <c r="U14" s="47"/>
      <c r="V14" s="47"/>
      <c r="W14" s="47"/>
    </row>
    <row r="15" spans="1:23" ht="35.15" customHeight="1" x14ac:dyDescent="0.3">
      <c r="A15" s="10" t="s">
        <v>746</v>
      </c>
      <c r="B15" s="387" t="s">
        <v>956</v>
      </c>
      <c r="C15" s="409" t="s">
        <v>640</v>
      </c>
      <c r="D15" s="501">
        <v>5.8879999999999999</v>
      </c>
      <c r="E15" s="502">
        <v>0.81799999999999995</v>
      </c>
      <c r="F15" s="503">
        <v>0.11700000000000001</v>
      </c>
      <c r="G15" s="489">
        <v>1.05</v>
      </c>
      <c r="H15" s="490"/>
      <c r="I15" s="490"/>
      <c r="J15" s="500"/>
      <c r="K15" s="26" t="s">
        <v>480</v>
      </c>
      <c r="M15" s="47"/>
      <c r="N15" s="47"/>
      <c r="O15" s="47"/>
      <c r="P15" s="47"/>
      <c r="Q15" s="47"/>
      <c r="R15" s="47"/>
      <c r="S15" s="47"/>
      <c r="T15" s="47"/>
      <c r="U15" s="47"/>
      <c r="V15" s="47"/>
      <c r="W15" s="47"/>
    </row>
    <row r="16" spans="1:23" ht="35.15" customHeight="1" x14ac:dyDescent="0.3">
      <c r="A16" s="10" t="s">
        <v>747</v>
      </c>
      <c r="B16" s="27" t="s">
        <v>957</v>
      </c>
      <c r="C16" s="409" t="s">
        <v>640</v>
      </c>
      <c r="D16" s="501">
        <v>5.0289999999999999</v>
      </c>
      <c r="E16" s="502">
        <v>0</v>
      </c>
      <c r="F16" s="503">
        <v>0</v>
      </c>
      <c r="G16" s="489">
        <v>0</v>
      </c>
      <c r="H16" s="490"/>
      <c r="I16" s="490"/>
      <c r="J16" s="500"/>
      <c r="K16" s="26"/>
      <c r="M16" s="47"/>
      <c r="N16" s="47"/>
      <c r="O16" s="47"/>
      <c r="P16" s="47"/>
      <c r="Q16" s="47"/>
      <c r="R16" s="47"/>
      <c r="S16" s="47"/>
      <c r="T16" s="47"/>
      <c r="U16" s="47"/>
      <c r="V16" s="47"/>
      <c r="W16" s="47"/>
    </row>
    <row r="17" spans="1:23" ht="35.15" customHeight="1" x14ac:dyDescent="0.3">
      <c r="A17" s="10" t="s">
        <v>748</v>
      </c>
      <c r="B17" s="27" t="s">
        <v>958</v>
      </c>
      <c r="C17" s="409" t="s">
        <v>640</v>
      </c>
      <c r="D17" s="501">
        <v>4.6689999999999996</v>
      </c>
      <c r="E17" s="502">
        <v>0</v>
      </c>
      <c r="F17" s="503">
        <v>0</v>
      </c>
      <c r="G17" s="489">
        <v>0</v>
      </c>
      <c r="H17" s="490"/>
      <c r="I17" s="490"/>
      <c r="J17" s="500"/>
      <c r="K17" s="26"/>
      <c r="M17" s="47"/>
      <c r="N17" s="47"/>
      <c r="O17" s="47"/>
      <c r="P17" s="47"/>
      <c r="Q17" s="47"/>
      <c r="R17" s="47"/>
      <c r="S17" s="47"/>
      <c r="T17" s="47"/>
      <c r="U17" s="47"/>
      <c r="V17" s="47"/>
      <c r="W17" s="47"/>
    </row>
    <row r="18" spans="1:23" ht="35.15" customHeight="1" x14ac:dyDescent="0.3">
      <c r="A18" s="10" t="s">
        <v>749</v>
      </c>
      <c r="B18" s="27" t="s">
        <v>959</v>
      </c>
      <c r="C18" s="409" t="s">
        <v>640</v>
      </c>
      <c r="D18" s="501">
        <v>4.49</v>
      </c>
      <c r="E18" s="502">
        <v>0</v>
      </c>
      <c r="F18" s="503">
        <v>0</v>
      </c>
      <c r="G18" s="489">
        <v>0</v>
      </c>
      <c r="H18" s="490"/>
      <c r="I18" s="490"/>
      <c r="J18" s="500"/>
      <c r="K18" s="26"/>
      <c r="M18" s="47"/>
      <c r="N18" s="47"/>
      <c r="O18" s="47"/>
      <c r="P18" s="47"/>
      <c r="Q18" s="47"/>
      <c r="R18" s="47"/>
      <c r="S18" s="47"/>
      <c r="T18" s="47"/>
      <c r="U18" s="47"/>
      <c r="V18" s="47"/>
      <c r="W18" s="47"/>
    </row>
    <row r="19" spans="1:23" ht="35.15" customHeight="1" x14ac:dyDescent="0.3">
      <c r="A19" s="10" t="s">
        <v>572</v>
      </c>
      <c r="B19" s="27" t="s">
        <v>960</v>
      </c>
      <c r="C19" s="391" t="s">
        <v>577</v>
      </c>
      <c r="D19" s="501">
        <v>5.8879999999999999</v>
      </c>
      <c r="E19" s="502">
        <v>0.81799999999999995</v>
      </c>
      <c r="F19" s="503">
        <v>0.11700000000000001</v>
      </c>
      <c r="G19" s="490"/>
      <c r="H19" s="490"/>
      <c r="I19" s="490"/>
      <c r="J19" s="500"/>
      <c r="K19" s="26" t="s">
        <v>603</v>
      </c>
      <c r="L19" s="3"/>
      <c r="M19" s="47"/>
      <c r="N19" s="47"/>
      <c r="O19" s="47"/>
      <c r="P19" s="47"/>
      <c r="Q19" s="47"/>
      <c r="R19" s="47"/>
      <c r="S19" s="47"/>
      <c r="T19" s="47"/>
      <c r="U19" s="47"/>
      <c r="V19" s="47"/>
      <c r="W19" s="47"/>
    </row>
    <row r="20" spans="1:23" ht="35.15" customHeight="1" x14ac:dyDescent="0.3">
      <c r="A20" s="10" t="s">
        <v>750</v>
      </c>
      <c r="B20" s="24" t="s">
        <v>961</v>
      </c>
      <c r="C20" s="395">
        <v>0</v>
      </c>
      <c r="D20" s="501">
        <v>5.3620000000000001</v>
      </c>
      <c r="E20" s="502">
        <v>0.752</v>
      </c>
      <c r="F20" s="503">
        <v>9.2999999999999999E-2</v>
      </c>
      <c r="G20" s="489">
        <v>9.69</v>
      </c>
      <c r="H20" s="489">
        <v>4.17</v>
      </c>
      <c r="I20" s="396">
        <v>6.47</v>
      </c>
      <c r="J20" s="499">
        <v>0.44900000000000001</v>
      </c>
      <c r="K20" s="26"/>
      <c r="L20" s="3"/>
      <c r="M20" s="47"/>
      <c r="N20" s="47"/>
      <c r="O20" s="47"/>
      <c r="P20" s="47"/>
      <c r="Q20" s="47"/>
      <c r="R20" s="47"/>
      <c r="S20" s="47"/>
      <c r="T20" s="47"/>
      <c r="U20" s="47"/>
      <c r="V20" s="47"/>
      <c r="W20" s="47"/>
    </row>
    <row r="21" spans="1:23" ht="35.15" customHeight="1" x14ac:dyDescent="0.3">
      <c r="A21" s="10" t="s">
        <v>751</v>
      </c>
      <c r="B21" s="26" t="s">
        <v>962</v>
      </c>
      <c r="C21" s="395">
        <v>0</v>
      </c>
      <c r="D21" s="501">
        <v>3.2989999999999999</v>
      </c>
      <c r="E21" s="502">
        <v>0.19500000000000001</v>
      </c>
      <c r="F21" s="503">
        <v>5.0999999999999997E-2</v>
      </c>
      <c r="G21" s="489">
        <v>2.14</v>
      </c>
      <c r="H21" s="489">
        <v>4.17</v>
      </c>
      <c r="I21" s="396">
        <v>6.47</v>
      </c>
      <c r="J21" s="499">
        <v>0.44900000000000001</v>
      </c>
      <c r="K21" s="26" t="s">
        <v>603</v>
      </c>
      <c r="L21" s="3"/>
      <c r="M21" s="47"/>
      <c r="N21" s="47"/>
      <c r="O21" s="47"/>
      <c r="P21" s="47"/>
      <c r="Q21" s="47"/>
      <c r="R21" s="47"/>
      <c r="S21" s="47"/>
      <c r="T21" s="47"/>
      <c r="U21" s="47"/>
      <c r="V21" s="47"/>
      <c r="W21" s="47"/>
    </row>
    <row r="22" spans="1:23" ht="35.15" customHeight="1" x14ac:dyDescent="0.3">
      <c r="A22" s="10" t="s">
        <v>752</v>
      </c>
      <c r="B22" s="26" t="s">
        <v>965</v>
      </c>
      <c r="C22" s="395">
        <v>0</v>
      </c>
      <c r="D22" s="501">
        <v>3.2629999999999999</v>
      </c>
      <c r="E22" s="502">
        <v>0.19500000000000001</v>
      </c>
      <c r="F22" s="503">
        <v>5.0999999999999997E-2</v>
      </c>
      <c r="G22" s="489">
        <v>2.14</v>
      </c>
      <c r="H22" s="489">
        <v>4.17</v>
      </c>
      <c r="I22" s="396">
        <v>6.47</v>
      </c>
      <c r="J22" s="499">
        <v>0.44900000000000001</v>
      </c>
      <c r="K22" s="26"/>
      <c r="M22" s="47"/>
      <c r="N22" s="47"/>
      <c r="O22" s="47"/>
      <c r="P22" s="47"/>
      <c r="Q22" s="47"/>
      <c r="R22" s="47"/>
      <c r="S22" s="47"/>
      <c r="T22" s="47"/>
      <c r="U22" s="47"/>
      <c r="V22" s="47"/>
      <c r="W22" s="47"/>
    </row>
    <row r="23" spans="1:23" ht="35.15" customHeight="1" x14ac:dyDescent="0.3">
      <c r="A23" s="10" t="s">
        <v>753</v>
      </c>
      <c r="B23" s="26" t="s">
        <v>966</v>
      </c>
      <c r="C23" s="395">
        <v>0</v>
      </c>
      <c r="D23" s="501">
        <v>3.23</v>
      </c>
      <c r="E23" s="502">
        <v>0.19500000000000001</v>
      </c>
      <c r="F23" s="503">
        <v>5.0999999999999997E-2</v>
      </c>
      <c r="G23" s="489">
        <v>2.14</v>
      </c>
      <c r="H23" s="489">
        <v>4.17</v>
      </c>
      <c r="I23" s="396">
        <v>6.47</v>
      </c>
      <c r="J23" s="499">
        <v>0.44900000000000001</v>
      </c>
      <c r="K23" s="26"/>
      <c r="L23" s="3"/>
      <c r="M23" s="47"/>
      <c r="N23" s="47"/>
      <c r="O23" s="47"/>
      <c r="P23" s="47"/>
      <c r="Q23" s="47"/>
      <c r="R23" s="47"/>
      <c r="S23" s="47"/>
      <c r="T23" s="47"/>
      <c r="U23" s="47"/>
      <c r="V23" s="47"/>
      <c r="W23" s="47"/>
    </row>
    <row r="24" spans="1:23" ht="35.15" customHeight="1" x14ac:dyDescent="0.3">
      <c r="A24" s="10" t="s">
        <v>754</v>
      </c>
      <c r="B24" s="26" t="s">
        <v>967</v>
      </c>
      <c r="C24" s="395">
        <v>0</v>
      </c>
      <c r="D24" s="501">
        <v>3.2029999999999998</v>
      </c>
      <c r="E24" s="502">
        <v>0.19500000000000001</v>
      </c>
      <c r="F24" s="503">
        <v>5.0999999999999997E-2</v>
      </c>
      <c r="G24" s="489">
        <v>2.14</v>
      </c>
      <c r="H24" s="489">
        <v>4.17</v>
      </c>
      <c r="I24" s="396">
        <v>6.47</v>
      </c>
      <c r="J24" s="499">
        <v>0.44900000000000001</v>
      </c>
      <c r="K24" s="26"/>
      <c r="L24" s="3"/>
      <c r="M24" s="47"/>
      <c r="N24" s="47"/>
      <c r="O24" s="47"/>
      <c r="P24" s="47"/>
      <c r="Q24" s="47"/>
      <c r="R24" s="47"/>
      <c r="S24" s="47"/>
      <c r="T24" s="47"/>
      <c r="U24" s="47"/>
      <c r="V24" s="47"/>
      <c r="W24" s="47"/>
    </row>
    <row r="25" spans="1:23" ht="35.15" customHeight="1" x14ac:dyDescent="0.3">
      <c r="A25" s="10" t="s">
        <v>755</v>
      </c>
      <c r="B25" s="392" t="s">
        <v>480</v>
      </c>
      <c r="C25" s="395">
        <v>0</v>
      </c>
      <c r="D25" s="501">
        <v>3.875</v>
      </c>
      <c r="E25" s="502">
        <v>0.55700000000000005</v>
      </c>
      <c r="F25" s="503">
        <v>4.2000000000000003E-2</v>
      </c>
      <c r="G25" s="489">
        <v>7.56</v>
      </c>
      <c r="H25" s="489">
        <v>7.1</v>
      </c>
      <c r="I25" s="396">
        <v>8.07</v>
      </c>
      <c r="J25" s="499">
        <v>0.27</v>
      </c>
      <c r="K25" s="26"/>
      <c r="M25" s="47"/>
      <c r="N25" s="47"/>
      <c r="O25" s="47"/>
      <c r="P25" s="47"/>
      <c r="Q25" s="47"/>
      <c r="R25" s="47"/>
      <c r="S25" s="47"/>
      <c r="T25" s="47"/>
      <c r="U25" s="47"/>
      <c r="V25" s="47"/>
      <c r="W25" s="47"/>
    </row>
    <row r="26" spans="1:23" ht="35.15" customHeight="1" x14ac:dyDescent="0.3">
      <c r="A26" s="10" t="s">
        <v>756</v>
      </c>
      <c r="B26" s="392" t="s">
        <v>480</v>
      </c>
      <c r="C26" s="395">
        <v>0</v>
      </c>
      <c r="D26" s="501">
        <v>1.8109999999999999</v>
      </c>
      <c r="E26" s="502">
        <v>0</v>
      </c>
      <c r="F26" s="503">
        <v>0</v>
      </c>
      <c r="G26" s="489">
        <v>0</v>
      </c>
      <c r="H26" s="489">
        <v>7.1</v>
      </c>
      <c r="I26" s="396">
        <v>8.07</v>
      </c>
      <c r="J26" s="499">
        <v>0.27</v>
      </c>
      <c r="K26" s="26" t="s">
        <v>603</v>
      </c>
      <c r="L26" s="3"/>
      <c r="M26" s="47"/>
      <c r="N26" s="47"/>
      <c r="O26" s="47"/>
      <c r="P26" s="47"/>
      <c r="Q26" s="47"/>
      <c r="R26" s="47"/>
      <c r="S26" s="47"/>
      <c r="T26" s="47"/>
      <c r="U26" s="47"/>
      <c r="V26" s="47"/>
      <c r="W26" s="47"/>
    </row>
    <row r="27" spans="1:23" ht="35.15" customHeight="1" x14ac:dyDescent="0.3">
      <c r="A27" s="10" t="s">
        <v>757</v>
      </c>
      <c r="B27" s="392" t="s">
        <v>480</v>
      </c>
      <c r="C27" s="395">
        <v>0</v>
      </c>
      <c r="D27" s="501">
        <v>1.7749999999999999</v>
      </c>
      <c r="E27" s="502">
        <v>0</v>
      </c>
      <c r="F27" s="503">
        <v>0</v>
      </c>
      <c r="G27" s="489">
        <v>0</v>
      </c>
      <c r="H27" s="489">
        <v>7.1</v>
      </c>
      <c r="I27" s="396">
        <v>8.07</v>
      </c>
      <c r="J27" s="499">
        <v>0.27</v>
      </c>
      <c r="K27" s="26"/>
      <c r="L27" s="3"/>
      <c r="M27" s="47"/>
      <c r="N27" s="47"/>
      <c r="O27" s="47"/>
      <c r="P27" s="47"/>
      <c r="Q27" s="47"/>
      <c r="R27" s="47"/>
      <c r="S27" s="47"/>
      <c r="T27" s="47"/>
      <c r="U27" s="47"/>
      <c r="V27" s="47"/>
      <c r="W27" s="47"/>
    </row>
    <row r="28" spans="1:23" ht="35.15" customHeight="1" x14ac:dyDescent="0.3">
      <c r="A28" s="10" t="s">
        <v>758</v>
      </c>
      <c r="B28" s="392" t="s">
        <v>480</v>
      </c>
      <c r="C28" s="395">
        <v>0</v>
      </c>
      <c r="D28" s="501">
        <v>1.7430000000000001</v>
      </c>
      <c r="E28" s="502">
        <v>0</v>
      </c>
      <c r="F28" s="503">
        <v>0</v>
      </c>
      <c r="G28" s="489">
        <v>0</v>
      </c>
      <c r="H28" s="489">
        <v>7.1</v>
      </c>
      <c r="I28" s="396">
        <v>8.07</v>
      </c>
      <c r="J28" s="499">
        <v>0.27</v>
      </c>
      <c r="K28" s="26"/>
      <c r="L28" s="3"/>
      <c r="M28" s="47"/>
      <c r="N28" s="47"/>
      <c r="O28" s="47"/>
      <c r="P28" s="47"/>
      <c r="Q28" s="47"/>
      <c r="R28" s="47"/>
      <c r="S28" s="47"/>
      <c r="T28" s="47"/>
      <c r="U28" s="47"/>
      <c r="V28" s="47"/>
      <c r="W28" s="47"/>
    </row>
    <row r="29" spans="1:23" ht="35.15" customHeight="1" x14ac:dyDescent="0.3">
      <c r="A29" s="10" t="s">
        <v>759</v>
      </c>
      <c r="B29" s="392" t="s">
        <v>480</v>
      </c>
      <c r="C29" s="395">
        <v>0</v>
      </c>
      <c r="D29" s="501">
        <v>1.716</v>
      </c>
      <c r="E29" s="502">
        <v>0</v>
      </c>
      <c r="F29" s="503">
        <v>0</v>
      </c>
      <c r="G29" s="489">
        <v>0</v>
      </c>
      <c r="H29" s="489">
        <v>7.1</v>
      </c>
      <c r="I29" s="396">
        <v>8.07</v>
      </c>
      <c r="J29" s="499">
        <v>0.27</v>
      </c>
      <c r="K29" s="26"/>
      <c r="M29" s="47"/>
      <c r="N29" s="47"/>
      <c r="O29" s="47"/>
      <c r="P29" s="47"/>
      <c r="Q29" s="47"/>
      <c r="R29" s="47"/>
      <c r="S29" s="47"/>
      <c r="T29" s="47"/>
      <c r="U29" s="47"/>
      <c r="V29" s="47"/>
      <c r="W29" s="47"/>
    </row>
    <row r="30" spans="1:23" ht="35.15" customHeight="1" x14ac:dyDescent="0.3">
      <c r="A30" s="10" t="s">
        <v>760</v>
      </c>
      <c r="B30" s="387" t="s">
        <v>968</v>
      </c>
      <c r="C30" s="395">
        <v>0</v>
      </c>
      <c r="D30" s="501">
        <v>2.6280000000000001</v>
      </c>
      <c r="E30" s="502">
        <v>0.36799999999999999</v>
      </c>
      <c r="F30" s="503">
        <v>2.5999999999999999E-2</v>
      </c>
      <c r="G30" s="489">
        <v>94.8</v>
      </c>
      <c r="H30" s="489">
        <v>7.31</v>
      </c>
      <c r="I30" s="396">
        <v>8.1999999999999993</v>
      </c>
      <c r="J30" s="499">
        <v>0.21</v>
      </c>
      <c r="K30" s="26"/>
      <c r="L30" s="3"/>
      <c r="M30" s="47"/>
      <c r="N30" s="47"/>
      <c r="O30" s="47"/>
      <c r="P30" s="47"/>
      <c r="Q30" s="47"/>
      <c r="R30" s="47"/>
      <c r="S30" s="47"/>
      <c r="T30" s="47"/>
      <c r="U30" s="47"/>
      <c r="V30" s="47"/>
      <c r="W30" s="47"/>
    </row>
    <row r="31" spans="1:23" ht="35.15" customHeight="1" x14ac:dyDescent="0.3">
      <c r="A31" s="10" t="s">
        <v>761</v>
      </c>
      <c r="B31" s="26" t="s">
        <v>969</v>
      </c>
      <c r="C31" s="395">
        <v>0</v>
      </c>
      <c r="D31" s="501">
        <v>0.28599999999999998</v>
      </c>
      <c r="E31" s="502">
        <v>0</v>
      </c>
      <c r="F31" s="503">
        <v>0</v>
      </c>
      <c r="G31" s="489">
        <v>0</v>
      </c>
      <c r="H31" s="489">
        <v>7.31</v>
      </c>
      <c r="I31" s="396">
        <v>8.1999999999999993</v>
      </c>
      <c r="J31" s="499">
        <v>0.21</v>
      </c>
      <c r="K31" s="26" t="s">
        <v>480</v>
      </c>
      <c r="M31" s="47"/>
      <c r="N31" s="47"/>
      <c r="O31" s="47"/>
      <c r="P31" s="47"/>
      <c r="Q31" s="47"/>
      <c r="R31" s="47"/>
      <c r="S31" s="47"/>
      <c r="T31" s="47"/>
      <c r="U31" s="47"/>
      <c r="V31" s="47"/>
      <c r="W31" s="47"/>
    </row>
    <row r="32" spans="1:23" ht="35.15" customHeight="1" x14ac:dyDescent="0.3">
      <c r="A32" s="10" t="s">
        <v>762</v>
      </c>
      <c r="B32" s="26" t="s">
        <v>970</v>
      </c>
      <c r="C32" s="395">
        <v>0</v>
      </c>
      <c r="D32" s="501">
        <v>0.13300000000000001</v>
      </c>
      <c r="E32" s="502">
        <v>0</v>
      </c>
      <c r="F32" s="503">
        <v>0</v>
      </c>
      <c r="G32" s="489">
        <v>0</v>
      </c>
      <c r="H32" s="489">
        <v>7.31</v>
      </c>
      <c r="I32" s="396">
        <v>8.1999999999999993</v>
      </c>
      <c r="J32" s="499">
        <v>0.21</v>
      </c>
      <c r="K32" s="26"/>
      <c r="M32" s="47"/>
      <c r="N32" s="47"/>
      <c r="O32" s="47"/>
      <c r="P32" s="47"/>
      <c r="Q32" s="47"/>
      <c r="R32" s="47"/>
      <c r="S32" s="47"/>
      <c r="T32" s="47"/>
      <c r="U32" s="47"/>
      <c r="V32" s="47"/>
      <c r="W32" s="47"/>
    </row>
    <row r="33" spans="1:23" ht="35.15" customHeight="1" x14ac:dyDescent="0.3">
      <c r="A33" s="10" t="s">
        <v>763</v>
      </c>
      <c r="B33" s="26" t="s">
        <v>971</v>
      </c>
      <c r="C33" s="395">
        <v>0</v>
      </c>
      <c r="D33" s="501">
        <v>9.4E-2</v>
      </c>
      <c r="E33" s="502">
        <v>0</v>
      </c>
      <c r="F33" s="503">
        <v>0</v>
      </c>
      <c r="G33" s="489">
        <v>0</v>
      </c>
      <c r="H33" s="489">
        <v>7.31</v>
      </c>
      <c r="I33" s="396">
        <v>8.1999999999999993</v>
      </c>
      <c r="J33" s="499">
        <v>0.21</v>
      </c>
      <c r="K33" s="26"/>
      <c r="M33" s="47"/>
      <c r="N33" s="47"/>
      <c r="O33" s="47"/>
      <c r="P33" s="47"/>
      <c r="Q33" s="47"/>
      <c r="R33" s="47"/>
      <c r="S33" s="47"/>
      <c r="T33" s="47"/>
      <c r="U33" s="47"/>
      <c r="V33" s="47"/>
      <c r="W33" s="47"/>
    </row>
    <row r="34" spans="1:23" ht="35.15" customHeight="1" x14ac:dyDescent="0.3">
      <c r="A34" s="10" t="s">
        <v>764</v>
      </c>
      <c r="B34" s="26" t="s">
        <v>972</v>
      </c>
      <c r="C34" s="395">
        <v>0</v>
      </c>
      <c r="D34" s="501">
        <v>5.6000000000000001E-2</v>
      </c>
      <c r="E34" s="502">
        <v>0</v>
      </c>
      <c r="F34" s="503">
        <v>0</v>
      </c>
      <c r="G34" s="489">
        <v>0</v>
      </c>
      <c r="H34" s="489">
        <v>7.31</v>
      </c>
      <c r="I34" s="396">
        <v>8.1999999999999993</v>
      </c>
      <c r="J34" s="499">
        <v>0.21</v>
      </c>
      <c r="K34" s="26"/>
      <c r="M34" s="47"/>
      <c r="N34" s="47"/>
      <c r="O34" s="47"/>
      <c r="P34" s="47"/>
      <c r="Q34" s="47"/>
      <c r="R34" s="47"/>
      <c r="S34" s="47"/>
      <c r="T34" s="47"/>
      <c r="U34" s="47"/>
      <c r="V34" s="47"/>
      <c r="W34" s="47"/>
    </row>
    <row r="35" spans="1:23" ht="35.15" customHeight="1" x14ac:dyDescent="0.3">
      <c r="A35" s="10" t="s">
        <v>573</v>
      </c>
      <c r="B35" s="387" t="s">
        <v>973</v>
      </c>
      <c r="C35" s="395" t="s">
        <v>616</v>
      </c>
      <c r="D35" s="504">
        <v>34.073</v>
      </c>
      <c r="E35" s="505">
        <v>1.6870000000000001</v>
      </c>
      <c r="F35" s="503">
        <v>0.124</v>
      </c>
      <c r="G35" s="490"/>
      <c r="H35" s="490"/>
      <c r="I35" s="490"/>
      <c r="J35" s="500"/>
      <c r="K35" s="26" t="s">
        <v>603</v>
      </c>
      <c r="M35" s="47"/>
      <c r="N35" s="47"/>
      <c r="O35" s="47"/>
      <c r="P35" s="47"/>
      <c r="Q35" s="47"/>
      <c r="R35" s="47"/>
      <c r="S35" s="47"/>
      <c r="T35" s="47"/>
      <c r="U35" s="47"/>
      <c r="V35" s="47"/>
      <c r="W35" s="47"/>
    </row>
    <row r="36" spans="1:23" ht="35.15" customHeight="1" x14ac:dyDescent="0.3">
      <c r="A36" s="10" t="s">
        <v>617</v>
      </c>
      <c r="B36" s="27" t="s">
        <v>974</v>
      </c>
      <c r="C36" s="435">
        <v>0</v>
      </c>
      <c r="D36" s="501">
        <v>-5.5890000000000004</v>
      </c>
      <c r="E36" s="502">
        <v>-0.77600000000000002</v>
      </c>
      <c r="F36" s="503">
        <v>-0.111</v>
      </c>
      <c r="G36" s="489">
        <v>0</v>
      </c>
      <c r="H36" s="490"/>
      <c r="I36" s="490"/>
      <c r="J36" s="500"/>
      <c r="K36" s="26" t="s">
        <v>603</v>
      </c>
      <c r="M36" s="47"/>
      <c r="N36" s="47"/>
      <c r="O36" s="47"/>
      <c r="P36" s="47"/>
      <c r="Q36" s="47"/>
      <c r="R36" s="47"/>
      <c r="S36" s="47"/>
      <c r="T36" s="47"/>
      <c r="U36" s="47"/>
      <c r="V36" s="47"/>
      <c r="W36" s="47"/>
    </row>
    <row r="37" spans="1:23" ht="35.15" customHeight="1" x14ac:dyDescent="0.3">
      <c r="A37" s="10" t="s">
        <v>682</v>
      </c>
      <c r="B37" s="392" t="s">
        <v>480</v>
      </c>
      <c r="C37" s="395">
        <v>0</v>
      </c>
      <c r="D37" s="501">
        <v>-4.8890000000000002</v>
      </c>
      <c r="E37" s="502">
        <v>-0.68300000000000005</v>
      </c>
      <c r="F37" s="503">
        <v>-9.0999999999999998E-2</v>
      </c>
      <c r="G37" s="489">
        <v>0</v>
      </c>
      <c r="H37" s="490"/>
      <c r="I37" s="490"/>
      <c r="J37" s="500"/>
      <c r="K37" s="26" t="s">
        <v>603</v>
      </c>
      <c r="M37" s="47"/>
      <c r="N37" s="47"/>
      <c r="O37" s="47"/>
      <c r="P37" s="47"/>
      <c r="Q37" s="47"/>
      <c r="R37" s="47"/>
      <c r="S37" s="47"/>
      <c r="T37" s="47"/>
      <c r="U37" s="47"/>
      <c r="V37" s="47"/>
      <c r="W37" s="47"/>
    </row>
    <row r="38" spans="1:23" ht="35.15" customHeight="1" x14ac:dyDescent="0.3">
      <c r="A38" s="10" t="s">
        <v>597</v>
      </c>
      <c r="B38" s="27" t="s">
        <v>975</v>
      </c>
      <c r="C38" s="395">
        <v>0</v>
      </c>
      <c r="D38" s="501">
        <v>-5.5890000000000004</v>
      </c>
      <c r="E38" s="502">
        <v>-0.77600000000000002</v>
      </c>
      <c r="F38" s="503">
        <v>-0.111</v>
      </c>
      <c r="G38" s="489">
        <v>0</v>
      </c>
      <c r="H38" s="490"/>
      <c r="I38" s="490"/>
      <c r="J38" s="499">
        <v>0.38200000000000001</v>
      </c>
      <c r="K38" s="26" t="s">
        <v>603</v>
      </c>
      <c r="M38" s="47"/>
      <c r="N38" s="47"/>
      <c r="O38" s="47"/>
      <c r="P38" s="47"/>
      <c r="Q38" s="47"/>
      <c r="R38" s="47"/>
      <c r="S38" s="47"/>
      <c r="T38" s="47"/>
      <c r="U38" s="47"/>
      <c r="V38" s="47"/>
      <c r="W38" s="47"/>
    </row>
    <row r="39" spans="1:23" ht="35.15" customHeight="1" x14ac:dyDescent="0.3">
      <c r="A39" s="10" t="s">
        <v>683</v>
      </c>
      <c r="B39" s="392" t="s">
        <v>480</v>
      </c>
      <c r="C39" s="395">
        <v>0</v>
      </c>
      <c r="D39" s="501">
        <v>-5.5890000000000004</v>
      </c>
      <c r="E39" s="502">
        <v>-0.77600000000000002</v>
      </c>
      <c r="F39" s="503">
        <v>-0.111</v>
      </c>
      <c r="G39" s="489">
        <v>0</v>
      </c>
      <c r="H39" s="490"/>
      <c r="I39" s="490"/>
      <c r="J39" s="500"/>
      <c r="K39" s="26" t="s">
        <v>603</v>
      </c>
      <c r="M39" s="47"/>
      <c r="N39" s="47"/>
      <c r="O39" s="47"/>
      <c r="P39" s="47"/>
      <c r="Q39" s="47"/>
      <c r="R39" s="47"/>
      <c r="S39" s="47"/>
      <c r="T39" s="47"/>
      <c r="U39" s="47"/>
      <c r="V39" s="47"/>
      <c r="W39" s="47"/>
    </row>
    <row r="40" spans="1:23" ht="35.15" customHeight="1" x14ac:dyDescent="0.3">
      <c r="A40" s="10" t="s">
        <v>684</v>
      </c>
      <c r="B40" s="392" t="s">
        <v>480</v>
      </c>
      <c r="C40" s="395">
        <v>0</v>
      </c>
      <c r="D40" s="501">
        <v>-4.8890000000000002</v>
      </c>
      <c r="E40" s="502">
        <v>-0.68300000000000005</v>
      </c>
      <c r="F40" s="503">
        <v>-9.0999999999999998E-2</v>
      </c>
      <c r="G40" s="489">
        <v>0</v>
      </c>
      <c r="H40" s="490"/>
      <c r="I40" s="490"/>
      <c r="J40" s="499">
        <v>0.33500000000000002</v>
      </c>
      <c r="K40" s="26" t="s">
        <v>603</v>
      </c>
      <c r="M40" s="47"/>
      <c r="N40" s="47"/>
      <c r="O40" s="47"/>
      <c r="P40" s="47"/>
      <c r="Q40" s="47"/>
      <c r="R40" s="47"/>
      <c r="S40" s="47"/>
      <c r="T40" s="47"/>
      <c r="U40" s="47"/>
      <c r="V40" s="47"/>
      <c r="W40" s="47"/>
    </row>
    <row r="41" spans="1:23" ht="35.15" customHeight="1" x14ac:dyDescent="0.3">
      <c r="A41" s="10" t="s">
        <v>685</v>
      </c>
      <c r="B41" s="392" t="s">
        <v>480</v>
      </c>
      <c r="C41" s="395">
        <v>0</v>
      </c>
      <c r="D41" s="501">
        <v>-4.8890000000000002</v>
      </c>
      <c r="E41" s="502">
        <v>-0.68300000000000005</v>
      </c>
      <c r="F41" s="503">
        <v>-9.0999999999999998E-2</v>
      </c>
      <c r="G41" s="489">
        <v>0</v>
      </c>
      <c r="H41" s="490"/>
      <c r="I41" s="490"/>
      <c r="J41" s="500"/>
      <c r="K41" s="26" t="s">
        <v>603</v>
      </c>
      <c r="M41" s="47"/>
      <c r="N41" s="47"/>
      <c r="O41" s="47"/>
      <c r="P41" s="47"/>
      <c r="Q41" s="47"/>
      <c r="R41" s="47"/>
      <c r="S41" s="47"/>
      <c r="T41" s="47"/>
      <c r="U41" s="47"/>
      <c r="V41" s="47"/>
      <c r="W41" s="47"/>
    </row>
    <row r="42" spans="1:23" ht="35.15" customHeight="1" x14ac:dyDescent="0.3">
      <c r="A42" s="10" t="s">
        <v>598</v>
      </c>
      <c r="B42" s="26" t="s">
        <v>976</v>
      </c>
      <c r="C42" s="395">
        <v>0</v>
      </c>
      <c r="D42" s="501">
        <v>-3.2280000000000002</v>
      </c>
      <c r="E42" s="502">
        <v>-0.46400000000000002</v>
      </c>
      <c r="F42" s="503">
        <v>-3.5000000000000003E-2</v>
      </c>
      <c r="G42" s="489">
        <v>7.37</v>
      </c>
      <c r="H42" s="490"/>
      <c r="I42" s="490"/>
      <c r="J42" s="499">
        <v>0.29099999999999998</v>
      </c>
      <c r="K42" s="26" t="s">
        <v>603</v>
      </c>
      <c r="M42" s="47"/>
      <c r="N42" s="47"/>
      <c r="O42" s="47"/>
      <c r="P42" s="47"/>
      <c r="Q42" s="47"/>
      <c r="R42" s="47"/>
      <c r="S42" s="47"/>
      <c r="T42" s="47"/>
      <c r="U42" s="47"/>
      <c r="V42" s="47"/>
      <c r="W42" s="47"/>
    </row>
    <row r="43" spans="1:23" ht="35.15" customHeight="1" x14ac:dyDescent="0.3">
      <c r="A43" s="10" t="s">
        <v>681</v>
      </c>
      <c r="B43" s="392" t="s">
        <v>480</v>
      </c>
      <c r="C43" s="395">
        <v>0</v>
      </c>
      <c r="D43" s="501">
        <v>-3.2280000000000002</v>
      </c>
      <c r="E43" s="502">
        <v>-0.46400000000000002</v>
      </c>
      <c r="F43" s="503">
        <v>-3.5000000000000003E-2</v>
      </c>
      <c r="G43" s="489">
        <v>7.37</v>
      </c>
      <c r="H43" s="490"/>
      <c r="I43" s="490"/>
      <c r="J43" s="500"/>
      <c r="K43" s="26" t="s">
        <v>603</v>
      </c>
      <c r="M43" s="47"/>
      <c r="N43" s="47"/>
      <c r="O43" s="47"/>
      <c r="P43" s="47"/>
      <c r="Q43" s="47"/>
      <c r="R43" s="47"/>
      <c r="S43" s="47"/>
      <c r="T43" s="47"/>
      <c r="U43" s="47"/>
      <c r="V43" s="47"/>
      <c r="W43" s="47"/>
    </row>
    <row r="44" spans="1:23" ht="27.75" customHeight="1" x14ac:dyDescent="0.3">
      <c r="M44" s="47"/>
      <c r="N44" s="47"/>
      <c r="O44" s="47"/>
      <c r="P44" s="47"/>
      <c r="Q44" s="47"/>
      <c r="R44" s="47"/>
      <c r="S44" s="47"/>
      <c r="T44" s="47"/>
      <c r="U44" s="47"/>
      <c r="V44" s="47"/>
      <c r="W44" s="47"/>
    </row>
    <row r="45" spans="1:23" ht="27.75" customHeight="1" x14ac:dyDescent="0.3">
      <c r="M45" s="47"/>
      <c r="N45" s="47"/>
      <c r="O45" s="47"/>
      <c r="P45" s="47"/>
      <c r="Q45" s="47"/>
      <c r="R45" s="47"/>
      <c r="S45" s="47"/>
      <c r="T45" s="47"/>
      <c r="U45" s="47"/>
      <c r="V45" s="47"/>
      <c r="W45" s="47"/>
    </row>
    <row r="46" spans="1:23" ht="27.75" customHeight="1" x14ac:dyDescent="0.3">
      <c r="M46" s="47"/>
      <c r="N46" s="47"/>
      <c r="O46" s="47"/>
      <c r="P46" s="47"/>
      <c r="Q46" s="47"/>
      <c r="R46" s="47"/>
      <c r="S46" s="47"/>
      <c r="T46" s="47"/>
      <c r="U46" s="47"/>
      <c r="V46" s="47"/>
      <c r="W46" s="47"/>
    </row>
    <row r="47" spans="1:23" ht="27.75" customHeight="1" x14ac:dyDescent="0.3">
      <c r="M47" s="47"/>
      <c r="N47" s="47"/>
      <c r="O47" s="47"/>
      <c r="P47" s="47"/>
      <c r="Q47" s="47"/>
      <c r="R47" s="47"/>
      <c r="S47" s="47"/>
      <c r="T47" s="47"/>
      <c r="U47" s="47"/>
      <c r="V47" s="47"/>
      <c r="W47" s="47"/>
    </row>
  </sheetData>
  <mergeCells count="15">
    <mergeCell ref="G9:H9"/>
    <mergeCell ref="G10:H10"/>
    <mergeCell ref="I10:K10"/>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3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
Annex 1 -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2">
    <pageSetUpPr fitToPage="1"/>
  </sheetPr>
  <dimension ref="A1:XFC31"/>
  <sheetViews>
    <sheetView zoomScale="50" zoomScaleNormal="50" workbookViewId="0"/>
  </sheetViews>
  <sheetFormatPr defaultColWidth="9.15234375" defaultRowHeight="12.45" x14ac:dyDescent="0.3"/>
  <cols>
    <col min="1" max="1" width="21" style="99" customWidth="1"/>
    <col min="2" max="7" width="24" style="99" customWidth="1"/>
    <col min="8" max="16384" width="9.15234375" style="99"/>
  </cols>
  <sheetData>
    <row r="1" spans="1:16383" s="100" customFormat="1" ht="27.75" customHeight="1" x14ac:dyDescent="0.3">
      <c r="A1" s="210" t="s">
        <v>19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row>
    <row r="2" spans="1:16383" s="21" customFormat="1" ht="40" customHeight="1" x14ac:dyDescent="0.3">
      <c r="A2" s="668" t="s">
        <v>569</v>
      </c>
      <c r="B2" s="668"/>
      <c r="C2" s="668"/>
      <c r="D2" s="668"/>
      <c r="E2" s="668"/>
      <c r="F2" s="668"/>
    </row>
    <row r="3" spans="1:16383" ht="47.25" customHeight="1" x14ac:dyDescent="0.3">
      <c r="A3" s="553" t="str">
        <f>Overview!B4&amp;" - Illustrative LLFs in UKPN SPN Area (GSP Group_J) for year beginning "&amp;Overview!D4&amp;""</f>
        <v>Indigo Power Limited - Illustrative LLFs in UKPN SPN Area (GSP Group_J) for year beginning 1 April 2023</v>
      </c>
      <c r="B3" s="653"/>
      <c r="C3" s="653"/>
      <c r="D3" s="653"/>
      <c r="E3" s="653"/>
      <c r="F3" s="654"/>
    </row>
    <row r="4" spans="1:16383" ht="19.5" customHeight="1" x14ac:dyDescent="0.3">
      <c r="A4" s="670" t="s">
        <v>13</v>
      </c>
      <c r="B4" s="192" t="s">
        <v>5</v>
      </c>
      <c r="C4" s="192" t="s">
        <v>6</v>
      </c>
      <c r="D4" s="192" t="s">
        <v>7</v>
      </c>
      <c r="E4" s="192" t="s">
        <v>8</v>
      </c>
      <c r="F4" s="192" t="s">
        <v>477</v>
      </c>
    </row>
    <row r="5" spans="1:16383" ht="46.5" customHeight="1" x14ac:dyDescent="0.3">
      <c r="A5" s="670"/>
      <c r="B5" s="192"/>
      <c r="C5" s="338"/>
      <c r="D5" s="338"/>
      <c r="E5" s="338"/>
      <c r="F5" s="338"/>
    </row>
    <row r="6" spans="1:16383" ht="45" customHeight="1" x14ac:dyDescent="0.3">
      <c r="A6" s="367"/>
      <c r="B6" s="361"/>
      <c r="C6" s="96"/>
      <c r="D6" s="96"/>
      <c r="E6" s="96"/>
      <c r="F6" s="96"/>
    </row>
    <row r="7" spans="1:16383" ht="45" customHeight="1" x14ac:dyDescent="0.3">
      <c r="A7" s="367"/>
      <c r="B7" s="96"/>
      <c r="C7" s="361"/>
      <c r="D7" s="96"/>
      <c r="E7" s="96"/>
      <c r="F7" s="96"/>
    </row>
    <row r="8" spans="1:16383" ht="45" customHeight="1" x14ac:dyDescent="0.3">
      <c r="A8" s="367"/>
      <c r="B8" s="96"/>
      <c r="C8" s="96"/>
      <c r="D8" s="361"/>
      <c r="E8" s="96"/>
      <c r="F8" s="96"/>
    </row>
    <row r="9" spans="1:16383" ht="45" customHeight="1" x14ac:dyDescent="0.3">
      <c r="A9" s="367"/>
      <c r="B9" s="96"/>
      <c r="C9" s="96"/>
      <c r="D9" s="96"/>
      <c r="E9" s="96"/>
      <c r="F9" s="96"/>
    </row>
    <row r="10" spans="1:16383" s="89" customFormat="1" ht="22.5" customHeight="1" x14ac:dyDescent="0.3">
      <c r="A10" s="340" t="s">
        <v>14</v>
      </c>
      <c r="B10" s="694" t="s">
        <v>466</v>
      </c>
      <c r="C10" s="695"/>
      <c r="D10" s="695"/>
      <c r="E10" s="695"/>
      <c r="F10" s="696"/>
    </row>
    <row r="11" spans="1:16383" s="89" customFormat="1" ht="12.75" customHeight="1" x14ac:dyDescent="0.3">
      <c r="A11" s="194"/>
      <c r="B11" s="194"/>
      <c r="C11" s="194"/>
      <c r="D11" s="194"/>
      <c r="E11" s="194"/>
      <c r="F11" s="194"/>
    </row>
    <row r="12" spans="1:16383" ht="12.75" customHeight="1" x14ac:dyDescent="0.3">
      <c r="B12" s="195"/>
      <c r="C12" s="195"/>
      <c r="D12" s="195"/>
    </row>
    <row r="13" spans="1:16383" ht="22.5" customHeight="1" x14ac:dyDescent="0.3">
      <c r="A13" s="670" t="s">
        <v>293</v>
      </c>
      <c r="B13" s="670"/>
      <c r="C13" s="670"/>
      <c r="D13" s="670"/>
      <c r="E13" s="670"/>
      <c r="F13" s="670"/>
      <c r="G13" s="670"/>
    </row>
    <row r="14" spans="1:16383" ht="22.5" customHeight="1" x14ac:dyDescent="0.3">
      <c r="A14" s="670" t="s">
        <v>4</v>
      </c>
      <c r="B14" s="670"/>
      <c r="C14" s="670"/>
      <c r="D14" s="670"/>
      <c r="E14" s="670"/>
      <c r="F14" s="670"/>
      <c r="G14" s="670"/>
    </row>
    <row r="15" spans="1:16383" ht="33" customHeight="1" x14ac:dyDescent="0.3">
      <c r="A15" s="338" t="s">
        <v>294</v>
      </c>
      <c r="B15" s="196" t="s">
        <v>5</v>
      </c>
      <c r="C15" s="196" t="s">
        <v>6</v>
      </c>
      <c r="D15" s="196" t="s">
        <v>7</v>
      </c>
      <c r="E15" s="196" t="s">
        <v>8</v>
      </c>
      <c r="F15" s="196" t="s">
        <v>477</v>
      </c>
      <c r="G15" s="196" t="s">
        <v>9</v>
      </c>
    </row>
    <row r="16" spans="1:16383" x14ac:dyDescent="0.3">
      <c r="A16" s="341" t="s">
        <v>550</v>
      </c>
      <c r="B16" s="337">
        <v>1.0980000000000001</v>
      </c>
      <c r="C16" s="344">
        <v>1.0740000000000001</v>
      </c>
      <c r="D16" s="344">
        <v>1.087</v>
      </c>
      <c r="E16" s="344">
        <v>1.0669999999999999</v>
      </c>
      <c r="F16" s="344">
        <v>1.0780000000000001</v>
      </c>
      <c r="G16" s="345" t="s">
        <v>480</v>
      </c>
    </row>
    <row r="17" spans="1:14" ht="55" customHeight="1" x14ac:dyDescent="0.3">
      <c r="A17" s="341" t="s">
        <v>551</v>
      </c>
      <c r="B17" s="344"/>
      <c r="C17" s="344"/>
      <c r="D17" s="344"/>
      <c r="E17" s="344"/>
      <c r="F17" s="344"/>
      <c r="G17" s="345" t="s">
        <v>480</v>
      </c>
    </row>
    <row r="18" spans="1:14" ht="22.5" customHeight="1" x14ac:dyDescent="0.3">
      <c r="A18" s="341" t="s">
        <v>552</v>
      </c>
      <c r="B18" s="344">
        <v>1.0569999999999999</v>
      </c>
      <c r="C18" s="344">
        <v>1.042</v>
      </c>
      <c r="D18" s="344">
        <v>1.0509999999999999</v>
      </c>
      <c r="E18" s="344">
        <v>1.036</v>
      </c>
      <c r="F18" s="344">
        <v>1.044</v>
      </c>
      <c r="G18" s="345" t="s">
        <v>480</v>
      </c>
    </row>
    <row r="19" spans="1:14" ht="22.5" customHeight="1" x14ac:dyDescent="0.3">
      <c r="A19" s="341" t="s">
        <v>553</v>
      </c>
      <c r="B19" s="344"/>
      <c r="C19" s="344"/>
      <c r="D19" s="344"/>
      <c r="E19" s="344"/>
      <c r="F19" s="344"/>
      <c r="G19" s="345" t="s">
        <v>603</v>
      </c>
    </row>
    <row r="20" spans="1:14" ht="22.5" customHeight="1" x14ac:dyDescent="0.3">
      <c r="A20" s="341" t="s">
        <v>554</v>
      </c>
      <c r="B20" s="344">
        <v>1.0189999999999999</v>
      </c>
      <c r="C20" s="344">
        <v>1.0149999999999999</v>
      </c>
      <c r="D20" s="344">
        <v>1.0169999999999999</v>
      </c>
      <c r="E20" s="344">
        <v>1.014</v>
      </c>
      <c r="F20" s="344">
        <v>1.016</v>
      </c>
      <c r="G20" s="200" t="s">
        <v>480</v>
      </c>
    </row>
    <row r="21" spans="1:14" ht="22.5" customHeight="1" x14ac:dyDescent="0.3">
      <c r="A21" s="341" t="s">
        <v>556</v>
      </c>
      <c r="B21" s="344"/>
      <c r="C21" s="344"/>
      <c r="D21" s="344"/>
      <c r="E21" s="344"/>
      <c r="F21" s="344"/>
      <c r="G21" s="200"/>
    </row>
    <row r="22" spans="1:14" ht="12.75" customHeight="1" x14ac:dyDescent="0.3"/>
    <row r="23" spans="1:14" ht="22.5" customHeight="1" x14ac:dyDescent="0.3">
      <c r="A23" s="670" t="s">
        <v>295</v>
      </c>
      <c r="B23" s="670"/>
      <c r="C23" s="670"/>
      <c r="D23" s="670"/>
      <c r="E23" s="670"/>
      <c r="F23" s="670"/>
      <c r="G23" s="670"/>
    </row>
    <row r="24" spans="1:14" ht="22.5" customHeight="1" x14ac:dyDescent="0.3">
      <c r="A24" s="670" t="s">
        <v>11</v>
      </c>
      <c r="B24" s="670"/>
      <c r="C24" s="670"/>
      <c r="D24" s="670"/>
      <c r="E24" s="670"/>
      <c r="F24" s="670"/>
      <c r="G24" s="670"/>
    </row>
    <row r="25" spans="1:14" ht="33" customHeight="1" x14ac:dyDescent="0.3">
      <c r="A25" s="338" t="s">
        <v>10</v>
      </c>
      <c r="B25" s="192" t="s">
        <v>5</v>
      </c>
      <c r="C25" s="192" t="s">
        <v>6</v>
      </c>
      <c r="D25" s="192" t="s">
        <v>7</v>
      </c>
      <c r="E25" s="192" t="s">
        <v>8</v>
      </c>
      <c r="F25" s="192" t="s">
        <v>477</v>
      </c>
      <c r="G25" s="192" t="s">
        <v>9</v>
      </c>
    </row>
    <row r="26" spans="1:14" ht="22.5" customHeight="1" x14ac:dyDescent="0.3">
      <c r="A26" s="339"/>
      <c r="B26" s="197"/>
      <c r="C26" s="197"/>
      <c r="D26" s="197"/>
      <c r="E26" s="197"/>
      <c r="F26" s="197"/>
      <c r="G26" s="209"/>
      <c r="J26" s="89"/>
      <c r="K26" s="89"/>
      <c r="L26" s="89"/>
      <c r="M26" s="89"/>
      <c r="N26" s="89"/>
    </row>
    <row r="27" spans="1:14" ht="12.75" customHeight="1" x14ac:dyDescent="0.3"/>
    <row r="28" spans="1:14" ht="22.5" customHeight="1" x14ac:dyDescent="0.3">
      <c r="A28" s="670" t="s">
        <v>295</v>
      </c>
      <c r="B28" s="670"/>
      <c r="C28" s="670"/>
      <c r="D28" s="670"/>
      <c r="E28" s="670"/>
      <c r="F28" s="670"/>
      <c r="G28" s="670"/>
    </row>
    <row r="29" spans="1:14" ht="22.5" customHeight="1" x14ac:dyDescent="0.3">
      <c r="A29" s="670" t="s">
        <v>12</v>
      </c>
      <c r="B29" s="670"/>
      <c r="C29" s="670"/>
      <c r="D29" s="670"/>
      <c r="E29" s="670"/>
      <c r="F29" s="670"/>
      <c r="G29" s="670"/>
    </row>
    <row r="30" spans="1:14" ht="33" customHeight="1" x14ac:dyDescent="0.3">
      <c r="A30" s="338" t="s">
        <v>10</v>
      </c>
      <c r="B30" s="192" t="s">
        <v>5</v>
      </c>
      <c r="C30" s="192" t="s">
        <v>6</v>
      </c>
      <c r="D30" s="192" t="s">
        <v>7</v>
      </c>
      <c r="E30" s="192" t="s">
        <v>8</v>
      </c>
      <c r="F30" s="192" t="s">
        <v>477</v>
      </c>
      <c r="G30" s="192" t="s">
        <v>9</v>
      </c>
    </row>
    <row r="31" spans="1:14" ht="22.5" customHeight="1" x14ac:dyDescent="0.3">
      <c r="A31" s="339"/>
      <c r="B31" s="197"/>
      <c r="C31" s="197"/>
      <c r="D31" s="197"/>
      <c r="E31" s="197"/>
      <c r="F31" s="197"/>
      <c r="G31" s="209"/>
    </row>
  </sheetData>
  <mergeCells count="10">
    <mergeCell ref="A2:F2"/>
    <mergeCell ref="A29:G29"/>
    <mergeCell ref="B10:F10"/>
    <mergeCell ref="A13:G13"/>
    <mergeCell ref="A14:G14"/>
    <mergeCell ref="A3:F3"/>
    <mergeCell ref="A4:A5"/>
    <mergeCell ref="A23:G23"/>
    <mergeCell ref="A24:G24"/>
    <mergeCell ref="A28:G28"/>
  </mergeCells>
  <hyperlinks>
    <hyperlink ref="A1" location="Overview!A1" display="Back to Overview" xr:uid="{00000000-0004-0000-2100-000000000000}"/>
  </hyperlinks>
  <pageMargins left="0.70866141732283472" right="0.70866141732283472" top="0.55118110236220474" bottom="0.55118110236220474" header="0.11811023622047245" footer="0.31496062992125984"/>
  <pageSetup paperSize="9" scale="50" fitToHeight="0" orientation="portrait" r:id="rId1"/>
  <headerFooter differentFirst="1" scaleWithDoc="0">
    <oddHeader>&amp;L
Annex 5 – Line Loss Factors</oddHeader>
    <oddFooter>&amp;C&amp;P of &amp;N</oddFooter>
    <firstHeader>&amp;L
Annex 5 – Line Loss Factors</firstHeader>
    <firstFooter>&amp;C&amp;P of &amp;N</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pageSetUpPr fitToPage="1"/>
  </sheetPr>
  <dimension ref="A1:I32"/>
  <sheetViews>
    <sheetView zoomScale="50" zoomScaleNormal="50" workbookViewId="0"/>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87" customFormat="1" ht="27.75" customHeight="1" x14ac:dyDescent="0.3">
      <c r="A1" s="30" t="s">
        <v>19</v>
      </c>
      <c r="B1" s="101"/>
      <c r="D1" s="101"/>
      <c r="E1" s="101"/>
      <c r="F1" s="101"/>
      <c r="G1" s="213"/>
      <c r="H1" s="88"/>
      <c r="I1" s="88"/>
    </row>
    <row r="2" spans="1:9" ht="40" customHeight="1" x14ac:dyDescent="0.3">
      <c r="A2" s="668" t="s">
        <v>569</v>
      </c>
      <c r="B2" s="668"/>
      <c r="C2" s="668"/>
      <c r="D2" s="668"/>
      <c r="E2" s="668"/>
      <c r="F2" s="668"/>
    </row>
    <row r="3" spans="1:9" ht="47.25" customHeight="1" x14ac:dyDescent="0.3">
      <c r="A3" s="553" t="str">
        <f>Overview!B4&amp;" - Illustrative LLFs in WPD South Wales Area (GSP Group_K) for year beginning "&amp;Overview!D4&amp;""</f>
        <v>Indigo Power Limited - Illustrative LLFs in WPD South Wales Area (GSP Group_K) for year beginning 1 April 2023</v>
      </c>
      <c r="B3" s="653"/>
      <c r="C3" s="653"/>
      <c r="D3" s="653"/>
      <c r="E3" s="654"/>
    </row>
    <row r="4" spans="1:9" ht="19.5" customHeight="1" x14ac:dyDescent="0.3">
      <c r="A4" s="683" t="s">
        <v>13</v>
      </c>
      <c r="B4" s="192" t="s">
        <v>5</v>
      </c>
      <c r="C4" s="192" t="s">
        <v>6</v>
      </c>
      <c r="D4" s="192" t="s">
        <v>7</v>
      </c>
      <c r="E4" s="192" t="s">
        <v>8</v>
      </c>
    </row>
    <row r="5" spans="1:9" ht="39" customHeight="1" x14ac:dyDescent="0.3">
      <c r="A5" s="684"/>
      <c r="B5" s="192"/>
      <c r="C5" s="192"/>
      <c r="D5" s="192"/>
      <c r="E5" s="192"/>
    </row>
    <row r="6" spans="1:9" ht="45" customHeight="1" x14ac:dyDescent="0.3">
      <c r="A6" s="359"/>
      <c r="B6" s="96"/>
      <c r="C6" s="96"/>
      <c r="D6" s="361"/>
      <c r="E6" s="361"/>
    </row>
    <row r="7" spans="1:9" ht="45" customHeight="1" x14ac:dyDescent="0.3">
      <c r="A7" s="359"/>
      <c r="B7" s="361"/>
      <c r="C7" s="362"/>
      <c r="D7" s="361"/>
      <c r="E7" s="361"/>
    </row>
    <row r="8" spans="1:9" ht="45" customHeight="1" x14ac:dyDescent="0.3">
      <c r="A8" s="359"/>
      <c r="B8" s="96"/>
      <c r="C8" s="96"/>
      <c r="D8" s="361"/>
      <c r="E8" s="361"/>
    </row>
    <row r="9" spans="1:9" ht="25.5" customHeight="1" x14ac:dyDescent="0.3">
      <c r="A9" s="203" t="s">
        <v>14</v>
      </c>
      <c r="B9" s="685" t="s">
        <v>15</v>
      </c>
      <c r="C9" s="686"/>
      <c r="D9" s="686"/>
      <c r="E9" s="687"/>
    </row>
    <row r="10" spans="1:9" s="193" customFormat="1" ht="12.75" customHeight="1" x14ac:dyDescent="0.3">
      <c r="A10" s="204"/>
      <c r="B10" s="205"/>
      <c r="C10" s="205"/>
      <c r="D10" s="205"/>
      <c r="E10" s="205"/>
    </row>
    <row r="11" spans="1:9" ht="12.75" customHeight="1" x14ac:dyDescent="0.3">
      <c r="A11" s="206"/>
      <c r="B11" s="205"/>
      <c r="C11" s="205"/>
      <c r="D11" s="205"/>
      <c r="E11" s="205"/>
    </row>
    <row r="12" spans="1:9" ht="22.5" customHeight="1" x14ac:dyDescent="0.3">
      <c r="A12" s="581" t="s">
        <v>478</v>
      </c>
      <c r="B12" s="677"/>
      <c r="C12" s="677"/>
      <c r="D12" s="677"/>
      <c r="E12" s="677"/>
      <c r="F12" s="582"/>
    </row>
    <row r="13" spans="1:9" ht="22.5" customHeight="1" x14ac:dyDescent="0.3">
      <c r="A13" s="581" t="s">
        <v>4</v>
      </c>
      <c r="B13" s="677"/>
      <c r="C13" s="677"/>
      <c r="D13" s="677"/>
      <c r="E13" s="677"/>
      <c r="F13" s="582"/>
    </row>
    <row r="14" spans="1:9" ht="33" customHeight="1" x14ac:dyDescent="0.3">
      <c r="A14" s="192" t="s">
        <v>479</v>
      </c>
      <c r="B14" s="192" t="s">
        <v>5</v>
      </c>
      <c r="C14" s="192" t="s">
        <v>6</v>
      </c>
      <c r="D14" s="192" t="s">
        <v>7</v>
      </c>
      <c r="E14" s="192" t="s">
        <v>8</v>
      </c>
      <c r="F14" s="192" t="s">
        <v>9</v>
      </c>
    </row>
    <row r="15" spans="1:9" ht="55" customHeight="1" x14ac:dyDescent="0.3">
      <c r="A15" s="207" t="s">
        <v>563</v>
      </c>
      <c r="B15" s="197"/>
      <c r="C15" s="197"/>
      <c r="D15" s="197"/>
      <c r="E15" s="197"/>
      <c r="F15" s="96"/>
    </row>
    <row r="16" spans="1:9" ht="22.5" customHeight="1" x14ac:dyDescent="0.3">
      <c r="A16" s="207" t="s">
        <v>564</v>
      </c>
      <c r="B16" s="197"/>
      <c r="C16" s="197"/>
      <c r="D16" s="197"/>
      <c r="E16" s="197"/>
      <c r="F16" s="96"/>
    </row>
    <row r="17" spans="1:6" ht="22.5" customHeight="1" x14ac:dyDescent="0.3">
      <c r="A17" s="207" t="s">
        <v>565</v>
      </c>
      <c r="B17" s="197"/>
      <c r="C17" s="197"/>
      <c r="D17" s="197"/>
      <c r="E17" s="197"/>
      <c r="F17" s="96"/>
    </row>
    <row r="18" spans="1:6" ht="22.5" customHeight="1" x14ac:dyDescent="0.3">
      <c r="A18" s="207" t="s">
        <v>566</v>
      </c>
      <c r="B18" s="197">
        <v>1.02</v>
      </c>
      <c r="C18" s="197">
        <v>1.0209999999999999</v>
      </c>
      <c r="D18" s="197">
        <v>1.02</v>
      </c>
      <c r="E18" s="197">
        <v>1.0209999999999999</v>
      </c>
      <c r="F18" s="96" t="s">
        <v>480</v>
      </c>
    </row>
    <row r="19" spans="1:6" ht="22.5" customHeight="1" x14ac:dyDescent="0.3">
      <c r="A19" s="207" t="s">
        <v>560</v>
      </c>
      <c r="B19" s="197"/>
      <c r="C19" s="197"/>
      <c r="D19" s="197"/>
      <c r="E19" s="197"/>
      <c r="F19" s="345" t="s">
        <v>603</v>
      </c>
    </row>
    <row r="20" spans="1:6" ht="22.5" customHeight="1" x14ac:dyDescent="0.3">
      <c r="A20" s="207" t="s">
        <v>559</v>
      </c>
      <c r="B20" s="197">
        <v>1.04</v>
      </c>
      <c r="C20" s="197">
        <v>1.038</v>
      </c>
      <c r="D20" s="197">
        <v>1.032</v>
      </c>
      <c r="E20" s="197">
        <v>1.0349999999999999</v>
      </c>
      <c r="F20" s="345" t="s">
        <v>480</v>
      </c>
    </row>
    <row r="21" spans="1:6" ht="22.5" customHeight="1" x14ac:dyDescent="0.3">
      <c r="A21" s="207" t="s">
        <v>558</v>
      </c>
      <c r="B21" s="197"/>
      <c r="C21" s="197"/>
      <c r="D21" s="197"/>
      <c r="E21" s="197"/>
      <c r="F21" s="345" t="s">
        <v>480</v>
      </c>
    </row>
    <row r="22" spans="1:6" ht="125.7" customHeight="1" x14ac:dyDescent="0.3">
      <c r="A22" s="207" t="s">
        <v>557</v>
      </c>
      <c r="B22" s="197">
        <v>1.0680000000000001</v>
      </c>
      <c r="C22" s="197">
        <v>1.0660000000000001</v>
      </c>
      <c r="D22" s="197">
        <v>1.0660000000000001</v>
      </c>
      <c r="E22" s="197">
        <v>1.0649999999999999</v>
      </c>
      <c r="F22" s="345" t="s">
        <v>480</v>
      </c>
    </row>
    <row r="23" spans="1:6" ht="12.75" customHeight="1" x14ac:dyDescent="0.3"/>
    <row r="24" spans="1:6" ht="22.5" customHeight="1" x14ac:dyDescent="0.3">
      <c r="A24" s="581" t="s">
        <v>295</v>
      </c>
      <c r="B24" s="677"/>
      <c r="C24" s="677"/>
      <c r="D24" s="677"/>
      <c r="E24" s="677"/>
      <c r="F24" s="582"/>
    </row>
    <row r="25" spans="1:6" ht="22.5" customHeight="1" x14ac:dyDescent="0.3">
      <c r="A25" s="581" t="s">
        <v>11</v>
      </c>
      <c r="B25" s="677"/>
      <c r="C25" s="677"/>
      <c r="D25" s="677"/>
      <c r="E25" s="677"/>
      <c r="F25" s="582"/>
    </row>
    <row r="26" spans="1:6" ht="33" customHeight="1" x14ac:dyDescent="0.3">
      <c r="A26" s="192" t="s">
        <v>10</v>
      </c>
      <c r="B26" s="192" t="s">
        <v>5</v>
      </c>
      <c r="C26" s="192" t="s">
        <v>6</v>
      </c>
      <c r="D26" s="192" t="s">
        <v>7</v>
      </c>
      <c r="E26" s="192" t="s">
        <v>8</v>
      </c>
      <c r="F26" s="192" t="s">
        <v>9</v>
      </c>
    </row>
    <row r="27" spans="1:6" ht="22.5" customHeight="1" x14ac:dyDescent="0.3">
      <c r="A27" s="208"/>
      <c r="B27" s="197"/>
      <c r="C27" s="197"/>
      <c r="D27" s="197"/>
      <c r="E27" s="197"/>
      <c r="F27" s="209"/>
    </row>
    <row r="28" spans="1:6" ht="12.75" customHeight="1" x14ac:dyDescent="0.3"/>
    <row r="29" spans="1:6" ht="22.5" customHeight="1" x14ac:dyDescent="0.3">
      <c r="A29" s="581" t="s">
        <v>295</v>
      </c>
      <c r="B29" s="677"/>
      <c r="C29" s="677"/>
      <c r="D29" s="677"/>
      <c r="E29" s="677"/>
      <c r="F29" s="582"/>
    </row>
    <row r="30" spans="1:6" ht="22.5" customHeight="1" x14ac:dyDescent="0.3">
      <c r="A30" s="581" t="s">
        <v>12</v>
      </c>
      <c r="B30" s="677"/>
      <c r="C30" s="677"/>
      <c r="D30" s="677"/>
      <c r="E30" s="677"/>
      <c r="F30" s="582"/>
    </row>
    <row r="31" spans="1:6" ht="33" customHeight="1" x14ac:dyDescent="0.3">
      <c r="A31" s="192" t="s">
        <v>10</v>
      </c>
      <c r="B31" s="192" t="s">
        <v>5</v>
      </c>
      <c r="C31" s="192" t="s">
        <v>6</v>
      </c>
      <c r="D31" s="192" t="s">
        <v>7</v>
      </c>
      <c r="E31" s="192" t="s">
        <v>8</v>
      </c>
      <c r="F31" s="192" t="s">
        <v>9</v>
      </c>
    </row>
    <row r="32" spans="1:6" ht="22.5" customHeight="1" x14ac:dyDescent="0.3">
      <c r="A32" s="207"/>
      <c r="B32" s="197"/>
      <c r="C32" s="197"/>
      <c r="D32" s="197"/>
      <c r="E32" s="197"/>
      <c r="F32" s="219"/>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2200-000000000000}"/>
  </hyperlinks>
  <pageMargins left="0.39370078740157483" right="0.35433070866141736" top="0.51181102362204722" bottom="0.55118110236220474" header="0.27559055118110237" footer="0.31496062992125984"/>
  <pageSetup paperSize="9" scale="63" fitToHeight="0" orientation="portrait" r:id="rId1"/>
  <headerFooter scaleWithDoc="0">
    <oddHeader>&amp;LAnnex 5 – Schedule of Line Loss Factors</oddHeader>
    <firstFooter>&amp;C&amp;P of &amp;N</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4">
    <pageSetUpPr fitToPage="1"/>
  </sheetPr>
  <dimension ref="A1:I32"/>
  <sheetViews>
    <sheetView zoomScale="50" zoomScaleNormal="50" workbookViewId="0"/>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87" customFormat="1" ht="27.75" customHeight="1" x14ac:dyDescent="0.3">
      <c r="A1" s="30" t="s">
        <v>19</v>
      </c>
      <c r="B1" s="101"/>
      <c r="D1" s="101"/>
      <c r="E1" s="101"/>
      <c r="F1" s="101"/>
      <c r="G1" s="213"/>
      <c r="H1" s="88"/>
      <c r="I1" s="88"/>
    </row>
    <row r="2" spans="1:9" ht="40" customHeight="1" x14ac:dyDescent="0.3">
      <c r="A2" s="668" t="s">
        <v>569</v>
      </c>
      <c r="B2" s="668"/>
      <c r="C2" s="668"/>
      <c r="D2" s="668"/>
      <c r="E2" s="668"/>
      <c r="F2" s="668"/>
    </row>
    <row r="3" spans="1:9" ht="47.25" customHeight="1" x14ac:dyDescent="0.3">
      <c r="A3" s="553" t="str">
        <f>Overview!B4&amp;" - Illustrative LLFs in WPD South West Area (GSP Group_L) for year beginning "&amp;Overview!D4&amp;""</f>
        <v>Indigo Power Limited - Illustrative LLFs in WPD South West Area (GSP Group_L) for year beginning 1 April 2023</v>
      </c>
      <c r="B3" s="653"/>
      <c r="C3" s="653"/>
      <c r="D3" s="653"/>
      <c r="E3" s="654"/>
    </row>
    <row r="4" spans="1:9" ht="19.5" customHeight="1" x14ac:dyDescent="0.3">
      <c r="A4" s="683" t="s">
        <v>13</v>
      </c>
      <c r="B4" s="192" t="s">
        <v>5</v>
      </c>
      <c r="C4" s="192" t="s">
        <v>6</v>
      </c>
      <c r="D4" s="192" t="s">
        <v>7</v>
      </c>
      <c r="E4" s="192" t="s">
        <v>8</v>
      </c>
    </row>
    <row r="5" spans="1:9" ht="42.75" customHeight="1" x14ac:dyDescent="0.3">
      <c r="A5" s="684"/>
      <c r="B5" s="192"/>
      <c r="C5" s="192"/>
      <c r="D5" s="192"/>
      <c r="E5" s="192"/>
    </row>
    <row r="6" spans="1:9" ht="45" customHeight="1" x14ac:dyDescent="0.3">
      <c r="A6" s="201"/>
      <c r="B6" s="96"/>
      <c r="C6" s="96"/>
      <c r="D6" s="361"/>
      <c r="E6" s="95"/>
    </row>
    <row r="7" spans="1:9" ht="45" customHeight="1" x14ac:dyDescent="0.3">
      <c r="A7" s="201"/>
      <c r="B7" s="361"/>
      <c r="C7" s="362"/>
      <c r="D7" s="361"/>
      <c r="E7" s="95"/>
    </row>
    <row r="8" spans="1:9" ht="45" customHeight="1" x14ac:dyDescent="0.3">
      <c r="A8" s="201"/>
      <c r="B8" s="96"/>
      <c r="C8" s="96"/>
      <c r="D8" s="361"/>
      <c r="E8" s="95"/>
    </row>
    <row r="9" spans="1:9" ht="25.5" customHeight="1" x14ac:dyDescent="0.3">
      <c r="A9" s="203" t="s">
        <v>14</v>
      </c>
      <c r="B9" s="688" t="s">
        <v>15</v>
      </c>
      <c r="C9" s="689"/>
      <c r="D9" s="689"/>
      <c r="E9" s="690"/>
    </row>
    <row r="10" spans="1:9" s="193" customFormat="1" ht="12.75" customHeight="1" x14ac:dyDescent="0.3">
      <c r="A10" s="204"/>
      <c r="B10" s="205"/>
      <c r="C10" s="205"/>
      <c r="D10" s="205"/>
      <c r="E10" s="205"/>
    </row>
    <row r="11" spans="1:9" ht="12.75" customHeight="1" x14ac:dyDescent="0.3">
      <c r="A11" s="206"/>
      <c r="B11" s="205"/>
      <c r="C11" s="205"/>
      <c r="D11" s="205"/>
      <c r="E11" s="205"/>
    </row>
    <row r="12" spans="1:9" ht="22.5" customHeight="1" x14ac:dyDescent="0.3">
      <c r="A12" s="581" t="s">
        <v>478</v>
      </c>
      <c r="B12" s="677"/>
      <c r="C12" s="677"/>
      <c r="D12" s="677"/>
      <c r="E12" s="677"/>
      <c r="F12" s="582"/>
    </row>
    <row r="13" spans="1:9" ht="22.5" customHeight="1" x14ac:dyDescent="0.3">
      <c r="A13" s="581" t="s">
        <v>4</v>
      </c>
      <c r="B13" s="677"/>
      <c r="C13" s="677"/>
      <c r="D13" s="677"/>
      <c r="E13" s="677"/>
      <c r="F13" s="582"/>
    </row>
    <row r="14" spans="1:9" ht="33" customHeight="1" x14ac:dyDescent="0.3">
      <c r="A14" s="192" t="s">
        <v>479</v>
      </c>
      <c r="B14" s="192" t="s">
        <v>5</v>
      </c>
      <c r="C14" s="192" t="s">
        <v>6</v>
      </c>
      <c r="D14" s="192" t="s">
        <v>7</v>
      </c>
      <c r="E14" s="192" t="s">
        <v>8</v>
      </c>
      <c r="F14" s="192" t="s">
        <v>9</v>
      </c>
    </row>
    <row r="15" spans="1:9" ht="30" customHeight="1" x14ac:dyDescent="0.3">
      <c r="A15" s="207" t="s">
        <v>563</v>
      </c>
      <c r="B15" s="343"/>
      <c r="C15" s="343"/>
      <c r="D15" s="343"/>
      <c r="E15" s="343"/>
      <c r="F15" s="96"/>
    </row>
    <row r="16" spans="1:9" ht="22.5" customHeight="1" x14ac:dyDescent="0.3">
      <c r="A16" s="207" t="s">
        <v>564</v>
      </c>
      <c r="B16" s="343"/>
      <c r="C16" s="343"/>
      <c r="D16" s="343"/>
      <c r="E16" s="343"/>
      <c r="F16" s="96"/>
    </row>
    <row r="17" spans="1:7" ht="22.5" customHeight="1" x14ac:dyDescent="0.3">
      <c r="A17" s="207" t="s">
        <v>565</v>
      </c>
      <c r="B17" s="343"/>
      <c r="C17" s="343"/>
      <c r="D17" s="343"/>
      <c r="E17" s="343"/>
      <c r="F17" s="96"/>
    </row>
    <row r="18" spans="1:7" ht="22.5" customHeight="1" x14ac:dyDescent="0.3">
      <c r="A18" s="207" t="s">
        <v>566</v>
      </c>
      <c r="B18" s="343">
        <v>1.016</v>
      </c>
      <c r="C18" s="343">
        <v>1.0169999999999999</v>
      </c>
      <c r="D18" s="343">
        <v>1.016</v>
      </c>
      <c r="E18" s="343">
        <v>1.018</v>
      </c>
      <c r="F18" s="96" t="s">
        <v>480</v>
      </c>
    </row>
    <row r="19" spans="1:7" ht="22.5" customHeight="1" x14ac:dyDescent="0.3">
      <c r="A19" s="207" t="s">
        <v>560</v>
      </c>
      <c r="B19" s="343"/>
      <c r="C19" s="343"/>
      <c r="D19" s="343"/>
      <c r="E19" s="343"/>
      <c r="F19" s="345" t="s">
        <v>603</v>
      </c>
      <c r="G19" s="350">
        <v>4</v>
      </c>
    </row>
    <row r="20" spans="1:7" ht="22.5" customHeight="1" x14ac:dyDescent="0.3">
      <c r="A20" s="207" t="s">
        <v>559</v>
      </c>
      <c r="B20" s="343">
        <v>1.0329999999999999</v>
      </c>
      <c r="C20" s="343">
        <v>1.0309999999999999</v>
      </c>
      <c r="D20" s="343">
        <v>1.026</v>
      </c>
      <c r="E20" s="343">
        <v>1.03</v>
      </c>
      <c r="F20" s="345" t="s">
        <v>480</v>
      </c>
      <c r="G20" s="350">
        <v>3</v>
      </c>
    </row>
    <row r="21" spans="1:7" ht="22.5" customHeight="1" x14ac:dyDescent="0.3">
      <c r="A21" s="207" t="s">
        <v>558</v>
      </c>
      <c r="B21" s="343"/>
      <c r="C21" s="343"/>
      <c r="D21" s="343"/>
      <c r="E21" s="343"/>
      <c r="F21" s="345" t="s">
        <v>480</v>
      </c>
      <c r="G21" s="350">
        <v>2</v>
      </c>
    </row>
    <row r="22" spans="1:7" x14ac:dyDescent="0.3">
      <c r="A22" s="207" t="s">
        <v>557</v>
      </c>
      <c r="B22" s="343">
        <v>1.0609999999999999</v>
      </c>
      <c r="C22" s="343">
        <v>1.0589999999999999</v>
      </c>
      <c r="D22" s="343">
        <v>1.0589999999999999</v>
      </c>
      <c r="E22" s="343">
        <v>1.0589999999999999</v>
      </c>
      <c r="F22" s="345" t="s">
        <v>480</v>
      </c>
      <c r="G22" s="350">
        <v>1</v>
      </c>
    </row>
    <row r="23" spans="1:7" ht="12.75" customHeight="1" x14ac:dyDescent="0.3"/>
    <row r="24" spans="1:7" ht="22.5" customHeight="1" x14ac:dyDescent="0.3">
      <c r="A24" s="581" t="s">
        <v>295</v>
      </c>
      <c r="B24" s="677"/>
      <c r="C24" s="677"/>
      <c r="D24" s="677"/>
      <c r="E24" s="677"/>
      <c r="F24" s="582"/>
    </row>
    <row r="25" spans="1:7" ht="22.5" customHeight="1" x14ac:dyDescent="0.3">
      <c r="A25" s="581" t="s">
        <v>11</v>
      </c>
      <c r="B25" s="677"/>
      <c r="C25" s="677"/>
      <c r="D25" s="677"/>
      <c r="E25" s="677"/>
      <c r="F25" s="582"/>
    </row>
    <row r="26" spans="1:7" ht="33" customHeight="1" x14ac:dyDescent="0.3">
      <c r="A26" s="192" t="s">
        <v>10</v>
      </c>
      <c r="B26" s="192" t="s">
        <v>5</v>
      </c>
      <c r="C26" s="192" t="s">
        <v>6</v>
      </c>
      <c r="D26" s="192" t="s">
        <v>7</v>
      </c>
      <c r="E26" s="192" t="s">
        <v>8</v>
      </c>
      <c r="F26" s="192" t="s">
        <v>9</v>
      </c>
    </row>
    <row r="27" spans="1:7" ht="22.5" customHeight="1" x14ac:dyDescent="0.3">
      <c r="A27" s="208"/>
      <c r="B27" s="197"/>
      <c r="C27" s="197"/>
      <c r="D27" s="197"/>
      <c r="E27" s="197"/>
      <c r="F27" s="209"/>
    </row>
    <row r="28" spans="1:7" ht="12.75" customHeight="1" x14ac:dyDescent="0.3"/>
    <row r="29" spans="1:7" ht="22.5" customHeight="1" x14ac:dyDescent="0.3">
      <c r="A29" s="581" t="s">
        <v>295</v>
      </c>
      <c r="B29" s="677"/>
      <c r="C29" s="677"/>
      <c r="D29" s="677"/>
      <c r="E29" s="677"/>
      <c r="F29" s="582"/>
    </row>
    <row r="30" spans="1:7" ht="22.5" customHeight="1" x14ac:dyDescent="0.3">
      <c r="A30" s="581" t="s">
        <v>12</v>
      </c>
      <c r="B30" s="677"/>
      <c r="C30" s="677"/>
      <c r="D30" s="677"/>
      <c r="E30" s="677"/>
      <c r="F30" s="582"/>
    </row>
    <row r="31" spans="1:7" ht="33" customHeight="1" x14ac:dyDescent="0.3">
      <c r="A31" s="192" t="s">
        <v>10</v>
      </c>
      <c r="B31" s="192" t="s">
        <v>5</v>
      </c>
      <c r="C31" s="192" t="s">
        <v>6</v>
      </c>
      <c r="D31" s="192" t="s">
        <v>7</v>
      </c>
      <c r="E31" s="192" t="s">
        <v>8</v>
      </c>
      <c r="F31" s="192" t="s">
        <v>9</v>
      </c>
    </row>
    <row r="32" spans="1:7" ht="22.5" customHeight="1" x14ac:dyDescent="0.3">
      <c r="A32" s="208"/>
      <c r="B32" s="197"/>
      <c r="C32" s="197"/>
      <c r="D32" s="197"/>
      <c r="E32" s="197"/>
      <c r="F32" s="209"/>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2300-000000000000}"/>
  </hyperlinks>
  <pageMargins left="0.39370078740157483" right="0.35433070866141736" top="0.51181102362204722" bottom="0.55118110236220474" header="0.27559055118110237" footer="0.31496062992125984"/>
  <pageSetup paperSize="9" scale="63" fitToHeight="0" orientation="portrait" r:id="rId1"/>
  <headerFooter scaleWithDoc="0">
    <oddHeader>&amp;LAnnex 5 – Schedule of Line Loss Factors</oddHeader>
    <firstFooter>&amp;C&amp;P of &amp;N</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5">
    <pageSetUpPr fitToPage="1"/>
  </sheetPr>
  <dimension ref="A1:G33"/>
  <sheetViews>
    <sheetView zoomScale="50" zoomScaleNormal="50" workbookViewId="0"/>
  </sheetViews>
  <sheetFormatPr defaultColWidth="9.15234375" defaultRowHeight="12.45" x14ac:dyDescent="0.3"/>
  <cols>
    <col min="1" max="6" width="24" style="21" customWidth="1"/>
    <col min="7" max="16384" width="9.15234375" style="21"/>
  </cols>
  <sheetData>
    <row r="1" spans="1:7" ht="27.75" customHeight="1" x14ac:dyDescent="0.3">
      <c r="A1" s="189" t="s">
        <v>19</v>
      </c>
      <c r="C1" s="190"/>
    </row>
    <row r="2" spans="1:7" ht="40" customHeight="1" x14ac:dyDescent="0.3">
      <c r="A2" s="668" t="s">
        <v>569</v>
      </c>
      <c r="B2" s="668"/>
      <c r="C2" s="668"/>
      <c r="D2" s="668"/>
      <c r="E2" s="668"/>
      <c r="F2" s="668"/>
    </row>
    <row r="3" spans="1:7" ht="47.25" customHeight="1" x14ac:dyDescent="0.3">
      <c r="A3" s="553" t="str">
        <f>Overview!B4&amp;" - Illustrative LLFs in NPG Yorkshire Area (GSP Group_M) for year beginning "&amp;Overview!D4&amp;""</f>
        <v>Indigo Power Limited - Illustrative LLFs in NPG Yorkshire Area (GSP Group_M) for year beginning 1 April 2023</v>
      </c>
      <c r="B3" s="653"/>
      <c r="C3" s="653"/>
      <c r="D3" s="653"/>
      <c r="E3" s="654"/>
    </row>
    <row r="4" spans="1:7" ht="19.5" customHeight="1" x14ac:dyDescent="0.3">
      <c r="A4" s="683" t="s">
        <v>13</v>
      </c>
      <c r="B4" s="192" t="s">
        <v>5</v>
      </c>
      <c r="C4" s="192" t="s">
        <v>6</v>
      </c>
      <c r="D4" s="192" t="s">
        <v>7</v>
      </c>
      <c r="E4" s="192" t="s">
        <v>8</v>
      </c>
    </row>
    <row r="5" spans="1:7" ht="37.5" customHeight="1" x14ac:dyDescent="0.3">
      <c r="A5" s="684"/>
      <c r="B5" s="192"/>
      <c r="C5" s="192"/>
      <c r="D5" s="192"/>
      <c r="E5" s="192"/>
    </row>
    <row r="6" spans="1:7" ht="45" customHeight="1" x14ac:dyDescent="0.3">
      <c r="A6" s="368"/>
      <c r="B6" s="360"/>
      <c r="C6" s="360"/>
      <c r="D6" s="96"/>
      <c r="E6" s="96"/>
    </row>
    <row r="7" spans="1:7" ht="45" customHeight="1" x14ac:dyDescent="0.3">
      <c r="A7" s="368"/>
      <c r="B7" s="96"/>
      <c r="C7" s="96"/>
      <c r="D7" s="96"/>
      <c r="E7" s="96"/>
    </row>
    <row r="8" spans="1:7" ht="45" customHeight="1" x14ac:dyDescent="0.3">
      <c r="A8" s="368"/>
      <c r="B8" s="360"/>
      <c r="C8" s="360"/>
      <c r="D8" s="96"/>
      <c r="E8" s="96"/>
    </row>
    <row r="9" spans="1:7" ht="45" customHeight="1" x14ac:dyDescent="0.3">
      <c r="A9" s="368"/>
      <c r="B9" s="360"/>
      <c r="C9" s="360"/>
      <c r="D9" s="96"/>
      <c r="E9" s="96"/>
      <c r="F9" s="21" t="s">
        <v>480</v>
      </c>
    </row>
    <row r="10" spans="1:7" ht="21.75" customHeight="1" x14ac:dyDescent="0.3">
      <c r="A10" s="170" t="s">
        <v>14</v>
      </c>
      <c r="B10" s="697" t="s">
        <v>15</v>
      </c>
      <c r="C10" s="697"/>
      <c r="D10" s="697"/>
      <c r="E10" s="697"/>
      <c r="F10" s="214" t="s">
        <v>480</v>
      </c>
      <c r="G10" s="193"/>
    </row>
    <row r="11" spans="1:7" s="193" customFormat="1" ht="12.75" customHeight="1" x14ac:dyDescent="0.3">
      <c r="A11" s="204"/>
      <c r="B11" s="205"/>
      <c r="C11" s="205"/>
      <c r="D11" s="205"/>
      <c r="E11" s="205"/>
    </row>
    <row r="12" spans="1:7" ht="12.75" customHeight="1" x14ac:dyDescent="0.3">
      <c r="B12" s="205"/>
      <c r="C12" s="205"/>
      <c r="D12" s="205"/>
      <c r="E12" s="205"/>
    </row>
    <row r="13" spans="1:7" ht="22.5" customHeight="1" x14ac:dyDescent="0.3">
      <c r="A13" s="581" t="s">
        <v>293</v>
      </c>
      <c r="B13" s="677"/>
      <c r="C13" s="677"/>
      <c r="D13" s="677"/>
      <c r="E13" s="677"/>
      <c r="F13" s="582"/>
    </row>
    <row r="14" spans="1:7" ht="22.5" customHeight="1" x14ac:dyDescent="0.3">
      <c r="A14" s="581" t="s">
        <v>4</v>
      </c>
      <c r="B14" s="677"/>
      <c r="C14" s="677"/>
      <c r="D14" s="677"/>
      <c r="E14" s="677"/>
      <c r="F14" s="582"/>
    </row>
    <row r="15" spans="1:7" ht="33" customHeight="1" x14ac:dyDescent="0.3">
      <c r="A15" s="192" t="s">
        <v>294</v>
      </c>
      <c r="B15" s="192" t="s">
        <v>5</v>
      </c>
      <c r="C15" s="192" t="s">
        <v>6</v>
      </c>
      <c r="D15" s="192" t="s">
        <v>7</v>
      </c>
      <c r="E15" s="192" t="s">
        <v>8</v>
      </c>
      <c r="F15" s="192" t="s">
        <v>9</v>
      </c>
    </row>
    <row r="16" spans="1:7" ht="121" customHeight="1" x14ac:dyDescent="0.3">
      <c r="A16" s="207" t="s">
        <v>557</v>
      </c>
      <c r="B16" s="394">
        <v>1.115</v>
      </c>
      <c r="C16" s="394">
        <v>1.105</v>
      </c>
      <c r="D16" s="394">
        <v>1.0820000000000001</v>
      </c>
      <c r="E16" s="394">
        <v>1.0920000000000001</v>
      </c>
      <c r="F16" s="345" t="s">
        <v>480</v>
      </c>
      <c r="G16" s="350">
        <v>1</v>
      </c>
    </row>
    <row r="17" spans="1:7" ht="22.5" customHeight="1" x14ac:dyDescent="0.3">
      <c r="A17" s="207" t="s">
        <v>558</v>
      </c>
      <c r="B17" s="207"/>
      <c r="C17" s="207"/>
      <c r="D17" s="207"/>
      <c r="E17" s="207"/>
      <c r="F17" s="345" t="s">
        <v>480</v>
      </c>
      <c r="G17" s="350">
        <v>2</v>
      </c>
    </row>
    <row r="18" spans="1:7" ht="22.5" customHeight="1" x14ac:dyDescent="0.3">
      <c r="A18" s="207" t="s">
        <v>559</v>
      </c>
      <c r="B18" s="394">
        <v>1.0289999999999999</v>
      </c>
      <c r="C18" s="394">
        <v>1.028</v>
      </c>
      <c r="D18" s="394">
        <v>1.022</v>
      </c>
      <c r="E18" s="394">
        <v>1.0249999999999999</v>
      </c>
      <c r="F18" s="351" t="s">
        <v>480</v>
      </c>
      <c r="G18" s="350">
        <v>3</v>
      </c>
    </row>
    <row r="19" spans="1:7" ht="22.5" customHeight="1" x14ac:dyDescent="0.3">
      <c r="A19" s="207" t="s">
        <v>560</v>
      </c>
      <c r="B19" s="207"/>
      <c r="C19" s="207"/>
      <c r="D19" s="207"/>
      <c r="E19" s="207"/>
      <c r="F19" s="345" t="s">
        <v>603</v>
      </c>
      <c r="G19" s="350">
        <v>4</v>
      </c>
    </row>
    <row r="20" spans="1:7" ht="30" customHeight="1" x14ac:dyDescent="0.3">
      <c r="A20" s="207" t="s">
        <v>561</v>
      </c>
      <c r="B20" s="207"/>
      <c r="C20" s="207"/>
      <c r="D20" s="207"/>
      <c r="E20" s="207"/>
      <c r="F20" s="348"/>
      <c r="G20" s="350"/>
    </row>
    <row r="21" spans="1:7" ht="30" customHeight="1" x14ac:dyDescent="0.3">
      <c r="A21" s="207" t="s">
        <v>562</v>
      </c>
      <c r="B21" s="207"/>
      <c r="C21" s="207"/>
      <c r="D21" s="207"/>
      <c r="E21" s="207"/>
      <c r="F21" s="348"/>
    </row>
    <row r="22" spans="1:7" ht="12.75" customHeight="1" x14ac:dyDescent="0.3"/>
    <row r="23" spans="1:7" ht="22.5" customHeight="1" x14ac:dyDescent="0.3">
      <c r="A23" s="581" t="s">
        <v>295</v>
      </c>
      <c r="B23" s="677"/>
      <c r="C23" s="677"/>
      <c r="D23" s="677"/>
      <c r="E23" s="677"/>
      <c r="F23" s="582"/>
    </row>
    <row r="24" spans="1:7" ht="22.5" customHeight="1" x14ac:dyDescent="0.3">
      <c r="A24" s="581" t="s">
        <v>11</v>
      </c>
      <c r="B24" s="677"/>
      <c r="C24" s="677"/>
      <c r="D24" s="677"/>
      <c r="E24" s="677"/>
      <c r="F24" s="582"/>
    </row>
    <row r="25" spans="1:7" ht="33" customHeight="1" x14ac:dyDescent="0.3">
      <c r="A25" s="192" t="s">
        <v>10</v>
      </c>
      <c r="B25" s="192" t="s">
        <v>5</v>
      </c>
      <c r="C25" s="192" t="s">
        <v>6</v>
      </c>
      <c r="D25" s="192" t="s">
        <v>7</v>
      </c>
      <c r="E25" s="192" t="s">
        <v>8</v>
      </c>
      <c r="F25" s="192" t="s">
        <v>9</v>
      </c>
    </row>
    <row r="26" spans="1:7" ht="22.5" customHeight="1" x14ac:dyDescent="0.3">
      <c r="A26" s="215"/>
      <c r="B26" s="220"/>
      <c r="C26" s="220"/>
      <c r="D26" s="220"/>
      <c r="E26" s="220"/>
      <c r="F26" s="215"/>
    </row>
    <row r="27" spans="1:7" ht="12.75" customHeight="1" x14ac:dyDescent="0.3">
      <c r="A27" s="215"/>
    </row>
    <row r="28" spans="1:7" ht="22.5" customHeight="1" x14ac:dyDescent="0.3">
      <c r="A28" s="581" t="s">
        <v>295</v>
      </c>
      <c r="B28" s="677"/>
      <c r="C28" s="677"/>
      <c r="D28" s="677"/>
      <c r="E28" s="677"/>
      <c r="F28" s="582"/>
    </row>
    <row r="29" spans="1:7" ht="22.5" customHeight="1" x14ac:dyDescent="0.3">
      <c r="A29" s="581" t="s">
        <v>12</v>
      </c>
      <c r="B29" s="677"/>
      <c r="C29" s="677"/>
      <c r="D29" s="677"/>
      <c r="E29" s="677"/>
      <c r="F29" s="582"/>
    </row>
    <row r="30" spans="1:7" ht="33" customHeight="1" x14ac:dyDescent="0.3">
      <c r="A30" s="192" t="s">
        <v>10</v>
      </c>
      <c r="B30" s="192" t="s">
        <v>5</v>
      </c>
      <c r="C30" s="192" t="s">
        <v>6</v>
      </c>
      <c r="D30" s="192" t="s">
        <v>7</v>
      </c>
      <c r="E30" s="192" t="s">
        <v>8</v>
      </c>
      <c r="F30" s="192" t="s">
        <v>9</v>
      </c>
    </row>
    <row r="31" spans="1:7" ht="22.5" customHeight="1" x14ac:dyDescent="0.3">
      <c r="A31" s="114"/>
      <c r="B31" s="197"/>
      <c r="C31" s="197"/>
      <c r="D31" s="197"/>
      <c r="E31" s="197"/>
      <c r="F31" s="221"/>
    </row>
    <row r="32" spans="1:7" x14ac:dyDescent="0.3">
      <c r="A32" s="222"/>
      <c r="B32" s="211"/>
      <c r="C32" s="211"/>
      <c r="D32" s="211"/>
      <c r="E32" s="211"/>
      <c r="F32" s="191"/>
    </row>
    <row r="33" spans="1:6" x14ac:dyDescent="0.3">
      <c r="A33" s="222"/>
      <c r="B33" s="211"/>
      <c r="C33" s="211"/>
      <c r="D33" s="211"/>
      <c r="E33" s="211"/>
      <c r="F33" s="191"/>
    </row>
  </sheetData>
  <mergeCells count="10">
    <mergeCell ref="A2:F2"/>
    <mergeCell ref="A23:F23"/>
    <mergeCell ref="A24:F24"/>
    <mergeCell ref="A28:F28"/>
    <mergeCell ref="A29:F29"/>
    <mergeCell ref="A3:E3"/>
    <mergeCell ref="A4:A5"/>
    <mergeCell ref="B10:E10"/>
    <mergeCell ref="A13:F13"/>
    <mergeCell ref="A14:F14"/>
  </mergeCells>
  <hyperlinks>
    <hyperlink ref="A1" display="Back to Overview" xr:uid="{00000000-0004-0000-2400-000000000000}"/>
  </hyperlinks>
  <pageMargins left="0.70866141732283472" right="0.70866141732283472" top="0.74803149606299213" bottom="0.74803149606299213" header="0.31496062992125984" footer="0.31496062992125984"/>
  <pageSetup paperSize="9" scale="56" fitToHeight="0" orientation="portrait" r:id="rId1"/>
  <headerFooter differentFirst="1" scaleWithDoc="0">
    <oddHeader>&amp;L&amp;"Trebuchet MS,Regular"
&amp;"Trebuchet MS,Bold"Annex 5&amp;"Trebuchet MS,Regular" – Schedule of Line Loss Factors</oddHeader>
    <oddFooter>&amp;L&amp;"Trebuchet MS,Regular"&amp;8NORTHERN POWERGRID (YORKSHIRE) PLC&amp;R&amp;"Trebuchet MS,Regular"&amp;8DECEMBER 2016 FINAL – V1.0</oddFooter>
    <firstHeader>&amp;L
Annex 5 – Schedule of Line Loss Factors</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2490-C830-429D-932B-B37659E69048}">
  <sheetPr codeName="Sheet46">
    <pageSetUpPr fitToPage="1"/>
  </sheetPr>
  <dimension ref="A1:I32"/>
  <sheetViews>
    <sheetView zoomScale="50" zoomScaleNormal="50" workbookViewId="0"/>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87" customFormat="1" ht="27.75" customHeight="1" x14ac:dyDescent="0.3">
      <c r="A1" s="30" t="s">
        <v>19</v>
      </c>
      <c r="B1" s="101"/>
      <c r="D1" s="101"/>
      <c r="E1" s="101"/>
      <c r="F1" s="101"/>
      <c r="G1" s="213"/>
      <c r="H1" s="88"/>
      <c r="I1" s="88"/>
    </row>
    <row r="2" spans="1:9" ht="40" customHeight="1" x14ac:dyDescent="0.3">
      <c r="A2" s="668" t="s">
        <v>569</v>
      </c>
      <c r="B2" s="668"/>
      <c r="C2" s="668"/>
      <c r="D2" s="668"/>
      <c r="E2" s="668"/>
      <c r="F2" s="668"/>
    </row>
    <row r="3" spans="1:9" ht="47.25" customHeight="1" x14ac:dyDescent="0.3">
      <c r="A3" s="553" t="str">
        <f>Overview!B4&amp;" - Illustrative LLFs in SP Distribution Area (GSP Group _N) for year beginning "&amp;Overview!D4&amp;""</f>
        <v>Indigo Power Limited - Illustrative LLFs in SP Distribution Area (GSP Group _N) for year beginning 1 April 2023</v>
      </c>
      <c r="B3" s="653"/>
      <c r="C3" s="653"/>
      <c r="D3" s="653"/>
      <c r="E3" s="654"/>
    </row>
    <row r="4" spans="1:9" ht="19.5" customHeight="1" x14ac:dyDescent="0.3">
      <c r="A4" s="683" t="s">
        <v>13</v>
      </c>
      <c r="B4" s="318" t="s">
        <v>5</v>
      </c>
      <c r="C4" s="318" t="s">
        <v>6</v>
      </c>
      <c r="D4" s="318" t="s">
        <v>7</v>
      </c>
      <c r="E4" s="318" t="s">
        <v>8</v>
      </c>
    </row>
    <row r="5" spans="1:9" ht="42.75" customHeight="1" x14ac:dyDescent="0.3">
      <c r="A5" s="684"/>
      <c r="B5" s="318"/>
      <c r="C5" s="318"/>
      <c r="D5" s="318"/>
      <c r="E5" s="318"/>
    </row>
    <row r="6" spans="1:9" ht="45" customHeight="1" x14ac:dyDescent="0.3">
      <c r="A6" s="359"/>
      <c r="B6" s="357"/>
      <c r="C6" s="357"/>
      <c r="D6" s="355"/>
      <c r="E6" s="355"/>
    </row>
    <row r="7" spans="1:9" ht="45" customHeight="1" x14ac:dyDescent="0.3">
      <c r="A7" s="359"/>
      <c r="B7" s="357"/>
      <c r="C7" s="357"/>
      <c r="D7" s="369"/>
      <c r="E7" s="357"/>
    </row>
    <row r="8" spans="1:9" ht="45" customHeight="1" x14ac:dyDescent="0.3">
      <c r="A8" s="359"/>
      <c r="B8" s="357"/>
      <c r="C8" s="357"/>
      <c r="D8" s="355"/>
      <c r="E8" s="355"/>
    </row>
    <row r="9" spans="1:9" ht="25.5" customHeight="1" x14ac:dyDescent="0.3">
      <c r="A9" s="203" t="s">
        <v>14</v>
      </c>
      <c r="B9" s="688" t="s">
        <v>15</v>
      </c>
      <c r="C9" s="689"/>
      <c r="D9" s="689"/>
      <c r="E9" s="690"/>
    </row>
    <row r="10" spans="1:9" s="193" customFormat="1" ht="12.75" customHeight="1" x14ac:dyDescent="0.3">
      <c r="A10" s="204"/>
      <c r="B10" s="205"/>
      <c r="C10" s="205"/>
      <c r="D10" s="205"/>
      <c r="E10" s="205"/>
    </row>
    <row r="11" spans="1:9" ht="12.75" customHeight="1" x14ac:dyDescent="0.3">
      <c r="A11" s="206"/>
      <c r="B11" s="205"/>
      <c r="C11" s="205"/>
      <c r="D11" s="205"/>
      <c r="E11" s="205"/>
    </row>
    <row r="12" spans="1:9" ht="22.5" customHeight="1" x14ac:dyDescent="0.3">
      <c r="A12" s="581" t="s">
        <v>478</v>
      </c>
      <c r="B12" s="677"/>
      <c r="C12" s="677"/>
      <c r="D12" s="677"/>
      <c r="E12" s="677"/>
      <c r="F12" s="582"/>
    </row>
    <row r="13" spans="1:9" ht="22.5" customHeight="1" x14ac:dyDescent="0.3">
      <c r="A13" s="581" t="s">
        <v>4</v>
      </c>
      <c r="B13" s="677"/>
      <c r="C13" s="677"/>
      <c r="D13" s="677"/>
      <c r="E13" s="677"/>
      <c r="F13" s="582"/>
    </row>
    <row r="14" spans="1:9" ht="33" customHeight="1" x14ac:dyDescent="0.3">
      <c r="A14" s="318" t="s">
        <v>479</v>
      </c>
      <c r="B14" s="318" t="s">
        <v>5</v>
      </c>
      <c r="C14" s="318" t="s">
        <v>6</v>
      </c>
      <c r="D14" s="318" t="s">
        <v>7</v>
      </c>
      <c r="E14" s="318" t="s">
        <v>8</v>
      </c>
      <c r="F14" s="318" t="s">
        <v>9</v>
      </c>
    </row>
    <row r="15" spans="1:9" ht="121" customHeight="1" x14ac:dyDescent="0.3">
      <c r="A15" s="207" t="s">
        <v>550</v>
      </c>
      <c r="B15" s="343">
        <v>1.0840000000000001</v>
      </c>
      <c r="C15" s="343">
        <v>1.099</v>
      </c>
      <c r="D15" s="343">
        <v>1.113</v>
      </c>
      <c r="E15" s="343">
        <v>1.1259999999999999</v>
      </c>
      <c r="F15" s="345" t="s">
        <v>480</v>
      </c>
      <c r="G15" s="350">
        <v>1</v>
      </c>
    </row>
    <row r="16" spans="1:9" ht="22.5" customHeight="1" x14ac:dyDescent="0.3">
      <c r="A16" s="207" t="s">
        <v>551</v>
      </c>
      <c r="B16" s="343"/>
      <c r="C16" s="343"/>
      <c r="D16" s="343"/>
      <c r="E16" s="343"/>
      <c r="F16" s="345" t="s">
        <v>480</v>
      </c>
      <c r="G16" s="350">
        <v>2</v>
      </c>
    </row>
    <row r="17" spans="1:7" ht="22.5" customHeight="1" x14ac:dyDescent="0.3">
      <c r="A17" s="207" t="s">
        <v>552</v>
      </c>
      <c r="B17" s="343">
        <v>1.0229999999999999</v>
      </c>
      <c r="C17" s="343">
        <v>1.0249999999999999</v>
      </c>
      <c r="D17" s="343">
        <v>1.028</v>
      </c>
      <c r="E17" s="343">
        <v>1.03</v>
      </c>
      <c r="F17" s="345" t="s">
        <v>480</v>
      </c>
      <c r="G17" s="350">
        <v>3</v>
      </c>
    </row>
    <row r="18" spans="1:7" ht="22.5" customHeight="1" x14ac:dyDescent="0.3">
      <c r="A18" s="207" t="s">
        <v>553</v>
      </c>
      <c r="B18" s="343"/>
      <c r="C18" s="343"/>
      <c r="D18" s="343"/>
      <c r="E18" s="343"/>
      <c r="F18" s="345" t="s">
        <v>603</v>
      </c>
      <c r="G18" s="350">
        <v>4</v>
      </c>
    </row>
    <row r="19" spans="1:7" ht="22.5" customHeight="1" x14ac:dyDescent="0.3">
      <c r="A19" s="207" t="s">
        <v>541</v>
      </c>
      <c r="B19" s="343"/>
      <c r="C19" s="343"/>
      <c r="D19" s="343"/>
      <c r="E19" s="343"/>
      <c r="F19" s="348"/>
    </row>
    <row r="20" spans="1:7" ht="22.5" customHeight="1" x14ac:dyDescent="0.3">
      <c r="A20" s="207" t="s">
        <v>542</v>
      </c>
      <c r="B20" s="343"/>
      <c r="C20" s="343"/>
      <c r="D20" s="343"/>
      <c r="E20" s="343"/>
      <c r="F20" s="348"/>
    </row>
    <row r="21" spans="1:7" ht="22.5" customHeight="1" x14ac:dyDescent="0.3">
      <c r="A21" s="207" t="s">
        <v>556</v>
      </c>
      <c r="B21" s="342"/>
      <c r="C21" s="342"/>
      <c r="D21" s="342"/>
      <c r="E21" s="342"/>
      <c r="F21" s="336"/>
    </row>
    <row r="22" spans="1:7" ht="22.5" customHeight="1" x14ac:dyDescent="0.3">
      <c r="A22" s="207" t="s">
        <v>556</v>
      </c>
      <c r="B22" s="342"/>
      <c r="C22" s="342"/>
      <c r="D22" s="342"/>
      <c r="E22" s="342"/>
      <c r="F22" s="336"/>
    </row>
    <row r="23" spans="1:7" ht="12.75" customHeight="1" x14ac:dyDescent="0.3"/>
    <row r="24" spans="1:7" ht="22.5" customHeight="1" x14ac:dyDescent="0.3">
      <c r="A24" s="581" t="s">
        <v>295</v>
      </c>
      <c r="B24" s="677"/>
      <c r="C24" s="677"/>
      <c r="D24" s="677"/>
      <c r="E24" s="677"/>
      <c r="F24" s="582"/>
    </row>
    <row r="25" spans="1:7" ht="22.5" customHeight="1" x14ac:dyDescent="0.3">
      <c r="A25" s="581" t="s">
        <v>11</v>
      </c>
      <c r="B25" s="677"/>
      <c r="C25" s="677"/>
      <c r="D25" s="677"/>
      <c r="E25" s="677"/>
      <c r="F25" s="582"/>
    </row>
    <row r="26" spans="1:7" ht="33" customHeight="1" x14ac:dyDescent="0.3">
      <c r="A26" s="318" t="s">
        <v>10</v>
      </c>
      <c r="B26" s="318" t="s">
        <v>5</v>
      </c>
      <c r="C26" s="318" t="s">
        <v>6</v>
      </c>
      <c r="D26" s="318" t="s">
        <v>7</v>
      </c>
      <c r="E26" s="318" t="s">
        <v>8</v>
      </c>
      <c r="F26" s="318" t="s">
        <v>9</v>
      </c>
    </row>
    <row r="27" spans="1:7" ht="22.5" customHeight="1" x14ac:dyDescent="0.3">
      <c r="A27" s="208"/>
      <c r="B27" s="197"/>
      <c r="C27" s="197"/>
      <c r="D27" s="197"/>
      <c r="E27" s="197"/>
      <c r="F27" s="209"/>
    </row>
    <row r="28" spans="1:7" ht="12.75" customHeight="1" x14ac:dyDescent="0.3"/>
    <row r="29" spans="1:7" ht="22.5" customHeight="1" x14ac:dyDescent="0.3">
      <c r="A29" s="581" t="s">
        <v>295</v>
      </c>
      <c r="B29" s="677"/>
      <c r="C29" s="677"/>
      <c r="D29" s="677"/>
      <c r="E29" s="677"/>
      <c r="F29" s="582"/>
    </row>
    <row r="30" spans="1:7" ht="22.5" customHeight="1" x14ac:dyDescent="0.3">
      <c r="A30" s="581" t="s">
        <v>12</v>
      </c>
      <c r="B30" s="677"/>
      <c r="C30" s="677"/>
      <c r="D30" s="677"/>
      <c r="E30" s="677"/>
      <c r="F30" s="582"/>
    </row>
    <row r="31" spans="1:7" ht="33" customHeight="1" x14ac:dyDescent="0.3">
      <c r="A31" s="318" t="s">
        <v>10</v>
      </c>
      <c r="B31" s="318" t="s">
        <v>5</v>
      </c>
      <c r="C31" s="318" t="s">
        <v>6</v>
      </c>
      <c r="D31" s="318" t="s">
        <v>7</v>
      </c>
      <c r="E31" s="318" t="s">
        <v>8</v>
      </c>
      <c r="F31" s="318" t="s">
        <v>9</v>
      </c>
    </row>
    <row r="32" spans="1:7" ht="22.5" customHeight="1" x14ac:dyDescent="0.3">
      <c r="A32" s="208"/>
      <c r="B32" s="197"/>
      <c r="C32" s="197"/>
      <c r="D32" s="197"/>
      <c r="E32" s="197"/>
      <c r="F32" s="209"/>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44DAEE1B-E0E8-4A80-B395-64211D741ECC}"/>
  </hyperlinks>
  <pageMargins left="0.39370078740157483" right="0.35433070866141736" top="0.51181102362204722" bottom="0.55118110236220474" header="0.27559055118110237" footer="0.31496062992125984"/>
  <pageSetup paperSize="9" scale="63" fitToHeight="0" orientation="portrait" r:id="rId1"/>
  <headerFooter scaleWithDoc="0">
    <oddHeader>&amp;LAnnex 5 – Schedule of Line Loss Factors</oddHeader>
    <firstFooter>&amp;C&amp;P of &amp;N</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B646-61BB-4AA7-B16F-D5302D4F2E77}">
  <sheetPr codeName="Sheet47">
    <pageSetUpPr fitToPage="1"/>
  </sheetPr>
  <dimension ref="A1:G31"/>
  <sheetViews>
    <sheetView zoomScale="50" zoomScaleNormal="50" workbookViewId="0">
      <selection activeCell="L9" sqref="L9"/>
    </sheetView>
  </sheetViews>
  <sheetFormatPr defaultColWidth="9.15234375" defaultRowHeight="12.45" x14ac:dyDescent="0.3"/>
  <cols>
    <col min="1" max="6" width="24" style="21" customWidth="1"/>
    <col min="7" max="16384" width="9.15234375" style="21"/>
  </cols>
  <sheetData>
    <row r="1" spans="1:7" ht="27.75" customHeight="1" x14ac:dyDescent="0.3">
      <c r="A1" s="189" t="s">
        <v>19</v>
      </c>
      <c r="C1" s="190"/>
    </row>
    <row r="2" spans="1:7" ht="40" customHeight="1" x14ac:dyDescent="0.3">
      <c r="A2" s="668" t="s">
        <v>569</v>
      </c>
      <c r="B2" s="668"/>
      <c r="C2" s="668"/>
      <c r="D2" s="668"/>
      <c r="E2" s="668"/>
      <c r="F2" s="668"/>
    </row>
    <row r="3" spans="1:7" ht="47.25" customHeight="1" x14ac:dyDescent="0.3">
      <c r="A3" s="553" t="str">
        <f>Overview!B4&amp;" - Illustrative LLFs in SSE SHEPD Area (GSP Group_P) for year beginning "&amp;Overview!D4&amp;""</f>
        <v>Indigo Power Limited - Illustrative LLFs in SSE SHEPD Area (GSP Group_P) for year beginning 1 April 2023</v>
      </c>
      <c r="B3" s="653"/>
      <c r="C3" s="653"/>
      <c r="D3" s="653"/>
      <c r="E3" s="654"/>
    </row>
    <row r="4" spans="1:7" ht="19.5" customHeight="1" x14ac:dyDescent="0.3">
      <c r="A4" s="683" t="s">
        <v>13</v>
      </c>
      <c r="B4" s="318" t="s">
        <v>5</v>
      </c>
      <c r="C4" s="318" t="s">
        <v>6</v>
      </c>
      <c r="D4" s="318" t="s">
        <v>7</v>
      </c>
      <c r="E4" s="318" t="s">
        <v>8</v>
      </c>
    </row>
    <row r="5" spans="1:7" ht="37.5" customHeight="1" x14ac:dyDescent="0.3">
      <c r="A5" s="684"/>
      <c r="B5" s="318"/>
      <c r="C5" s="338"/>
      <c r="D5" s="338"/>
      <c r="E5" s="338"/>
    </row>
    <row r="6" spans="1:7" ht="45" customHeight="1" x14ac:dyDescent="0.3">
      <c r="A6" s="203"/>
      <c r="B6" s="354"/>
      <c r="C6" s="354"/>
      <c r="D6" s="312"/>
      <c r="E6" s="312"/>
    </row>
    <row r="7" spans="1:7" ht="45" customHeight="1" x14ac:dyDescent="0.3">
      <c r="A7" s="368"/>
      <c r="B7" s="360"/>
      <c r="C7" s="360"/>
      <c r="D7" s="96"/>
      <c r="E7" s="96"/>
    </row>
    <row r="8" spans="1:7" ht="21.75" customHeight="1" x14ac:dyDescent="0.3">
      <c r="A8" s="316" t="s">
        <v>14</v>
      </c>
      <c r="B8" s="697" t="s">
        <v>15</v>
      </c>
      <c r="C8" s="697"/>
      <c r="D8" s="697"/>
      <c r="E8" s="697"/>
      <c r="F8" s="214" t="s">
        <v>480</v>
      </c>
      <c r="G8" s="193"/>
    </row>
    <row r="9" spans="1:7" s="193" customFormat="1" ht="12.75" customHeight="1" x14ac:dyDescent="0.3">
      <c r="A9" s="204"/>
      <c r="B9" s="205"/>
      <c r="C9" s="205"/>
      <c r="D9" s="205"/>
      <c r="E9" s="205"/>
    </row>
    <row r="10" spans="1:7" ht="12.75" customHeight="1" x14ac:dyDescent="0.3">
      <c r="B10" s="205"/>
      <c r="C10" s="205"/>
      <c r="D10" s="205"/>
      <c r="E10" s="205"/>
    </row>
    <row r="11" spans="1:7" ht="22.5" customHeight="1" x14ac:dyDescent="0.3">
      <c r="A11" s="581" t="s">
        <v>293</v>
      </c>
      <c r="B11" s="677"/>
      <c r="C11" s="677"/>
      <c r="D11" s="677"/>
      <c r="E11" s="677"/>
      <c r="F11" s="582"/>
    </row>
    <row r="12" spans="1:7" ht="22.5" customHeight="1" x14ac:dyDescent="0.3">
      <c r="A12" s="581" t="s">
        <v>4</v>
      </c>
      <c r="B12" s="677"/>
      <c r="C12" s="677"/>
      <c r="D12" s="677"/>
      <c r="E12" s="677"/>
      <c r="F12" s="582"/>
    </row>
    <row r="13" spans="1:7" ht="33" customHeight="1" x14ac:dyDescent="0.3">
      <c r="A13" s="318" t="s">
        <v>294</v>
      </c>
      <c r="B13" s="318" t="s">
        <v>5</v>
      </c>
      <c r="C13" s="318" t="s">
        <v>6</v>
      </c>
      <c r="D13" s="318" t="s">
        <v>7</v>
      </c>
      <c r="E13" s="318" t="s">
        <v>8</v>
      </c>
      <c r="F13" s="318" t="s">
        <v>9</v>
      </c>
    </row>
    <row r="14" spans="1:7" ht="118" customHeight="1" x14ac:dyDescent="0.3">
      <c r="A14" s="207" t="s">
        <v>550</v>
      </c>
      <c r="B14" s="343"/>
      <c r="C14" s="343"/>
      <c r="D14" s="343"/>
      <c r="E14" s="343"/>
      <c r="F14" s="345"/>
      <c r="G14" s="350">
        <v>1</v>
      </c>
    </row>
    <row r="15" spans="1:7" ht="22.5" customHeight="1" x14ac:dyDescent="0.3">
      <c r="A15" s="207" t="s">
        <v>551</v>
      </c>
      <c r="B15" s="343"/>
      <c r="C15" s="343"/>
      <c r="D15" s="343"/>
      <c r="E15" s="343"/>
      <c r="F15" s="345"/>
      <c r="G15" s="350">
        <v>2</v>
      </c>
    </row>
    <row r="16" spans="1:7" ht="22.5" customHeight="1" x14ac:dyDescent="0.3">
      <c r="A16" s="207" t="s">
        <v>552</v>
      </c>
      <c r="B16" s="343"/>
      <c r="C16" s="343"/>
      <c r="D16" s="343"/>
      <c r="E16" s="343"/>
      <c r="F16" s="345"/>
      <c r="G16" s="350">
        <v>3</v>
      </c>
    </row>
    <row r="17" spans="1:7" ht="22.5" customHeight="1" x14ac:dyDescent="0.3">
      <c r="A17" s="207" t="s">
        <v>553</v>
      </c>
      <c r="B17" s="343"/>
      <c r="C17" s="343"/>
      <c r="D17" s="343"/>
      <c r="E17" s="343"/>
      <c r="F17" s="345"/>
      <c r="G17" s="350">
        <v>4</v>
      </c>
    </row>
    <row r="18" spans="1:7" ht="30" customHeight="1" x14ac:dyDescent="0.3">
      <c r="A18" s="207" t="s">
        <v>554</v>
      </c>
      <c r="B18" s="304"/>
      <c r="C18" s="304"/>
      <c r="D18" s="304"/>
      <c r="E18" s="304"/>
      <c r="F18" s="304"/>
      <c r="G18" s="350"/>
    </row>
    <row r="19" spans="1:7" ht="30" customHeight="1" x14ac:dyDescent="0.3">
      <c r="A19" s="207" t="s">
        <v>555</v>
      </c>
      <c r="B19" s="304"/>
      <c r="C19" s="304"/>
      <c r="D19" s="304"/>
      <c r="E19" s="304"/>
      <c r="F19" s="304"/>
    </row>
    <row r="20" spans="1:7" ht="12.75" customHeight="1" x14ac:dyDescent="0.3"/>
    <row r="21" spans="1:7" ht="22.5" customHeight="1" x14ac:dyDescent="0.3">
      <c r="A21" s="581" t="s">
        <v>295</v>
      </c>
      <c r="B21" s="677"/>
      <c r="C21" s="677"/>
      <c r="D21" s="677"/>
      <c r="E21" s="677"/>
      <c r="F21" s="582"/>
    </row>
    <row r="22" spans="1:7" ht="22.5" customHeight="1" x14ac:dyDescent="0.3">
      <c r="A22" s="581" t="s">
        <v>11</v>
      </c>
      <c r="B22" s="677"/>
      <c r="C22" s="677"/>
      <c r="D22" s="677"/>
      <c r="E22" s="677"/>
      <c r="F22" s="582"/>
    </row>
    <row r="23" spans="1:7" ht="33" customHeight="1" x14ac:dyDescent="0.3">
      <c r="A23" s="318" t="s">
        <v>10</v>
      </c>
      <c r="B23" s="318" t="s">
        <v>5</v>
      </c>
      <c r="C23" s="318" t="s">
        <v>6</v>
      </c>
      <c r="D23" s="318" t="s">
        <v>7</v>
      </c>
      <c r="E23" s="318" t="s">
        <v>8</v>
      </c>
      <c r="F23" s="318" t="s">
        <v>9</v>
      </c>
    </row>
    <row r="24" spans="1:7" ht="22.5" customHeight="1" x14ac:dyDescent="0.3">
      <c r="A24" s="215"/>
      <c r="B24" s="220"/>
      <c r="C24" s="220"/>
      <c r="D24" s="220"/>
      <c r="E24" s="220"/>
      <c r="F24" s="215"/>
    </row>
    <row r="25" spans="1:7" ht="12.75" customHeight="1" x14ac:dyDescent="0.3">
      <c r="A25" s="215"/>
    </row>
    <row r="26" spans="1:7" ht="22.5" customHeight="1" x14ac:dyDescent="0.3">
      <c r="A26" s="581" t="s">
        <v>295</v>
      </c>
      <c r="B26" s="677"/>
      <c r="C26" s="677"/>
      <c r="D26" s="677"/>
      <c r="E26" s="677"/>
      <c r="F26" s="582"/>
    </row>
    <row r="27" spans="1:7" ht="22.5" customHeight="1" x14ac:dyDescent="0.3">
      <c r="A27" s="581" t="s">
        <v>12</v>
      </c>
      <c r="B27" s="677"/>
      <c r="C27" s="677"/>
      <c r="D27" s="677"/>
      <c r="E27" s="677"/>
      <c r="F27" s="582"/>
    </row>
    <row r="28" spans="1:7" ht="33" customHeight="1" x14ac:dyDescent="0.3">
      <c r="A28" s="318" t="s">
        <v>10</v>
      </c>
      <c r="B28" s="318" t="s">
        <v>5</v>
      </c>
      <c r="C28" s="318" t="s">
        <v>6</v>
      </c>
      <c r="D28" s="318" t="s">
        <v>7</v>
      </c>
      <c r="E28" s="318" t="s">
        <v>8</v>
      </c>
      <c r="F28" s="318" t="s">
        <v>9</v>
      </c>
    </row>
    <row r="29" spans="1:7" ht="22.5" customHeight="1" x14ac:dyDescent="0.3">
      <c r="A29" s="312"/>
      <c r="B29" s="197"/>
      <c r="C29" s="197"/>
      <c r="D29" s="197"/>
      <c r="E29" s="197"/>
      <c r="F29" s="221"/>
    </row>
    <row r="30" spans="1:7" x14ac:dyDescent="0.3">
      <c r="A30" s="222"/>
      <c r="B30" s="211"/>
      <c r="C30" s="211"/>
      <c r="D30" s="211"/>
      <c r="E30" s="211"/>
      <c r="F30" s="191"/>
    </row>
    <row r="31" spans="1:7" x14ac:dyDescent="0.3">
      <c r="A31" s="222"/>
      <c r="B31" s="211"/>
      <c r="C31" s="211"/>
      <c r="D31" s="211"/>
      <c r="E31" s="211"/>
      <c r="F31" s="191"/>
    </row>
  </sheetData>
  <mergeCells count="10">
    <mergeCell ref="A2:F2"/>
    <mergeCell ref="A21:F21"/>
    <mergeCell ref="A22:F22"/>
    <mergeCell ref="A26:F26"/>
    <mergeCell ref="A27:F27"/>
    <mergeCell ref="A3:E3"/>
    <mergeCell ref="A4:A5"/>
    <mergeCell ref="B8:E8"/>
    <mergeCell ref="A11:F11"/>
    <mergeCell ref="A12:F12"/>
  </mergeCells>
  <hyperlinks>
    <hyperlink ref="A1" display="Back to Overview" xr:uid="{B0448D22-FBA5-400B-B54E-FDCC2DF88798}"/>
  </hyperlinks>
  <pageMargins left="0.70866141732283472" right="0.70866141732283472" top="0.74803149606299213" bottom="0.74803149606299213" header="0.31496062992125984" footer="0.31496062992125984"/>
  <pageSetup paperSize="9" scale="56" fitToHeight="0" orientation="portrait" r:id="rId1"/>
  <headerFooter differentFirst="1" scaleWithDoc="0">
    <oddHeader>&amp;L&amp;"Trebuchet MS,Regular"
&amp;"Trebuchet MS,Bold"Annex 5&amp;"Trebuchet MS,Regular" – Schedule of Line Loss Factors</oddHeader>
    <oddFooter>&amp;L&amp;"Trebuchet MS,Regular"&amp;8NORTHERN POWERGRID (YORKSHIRE) PLC&amp;R&amp;"Trebuchet MS,Regular"&amp;8DECEMBER 2016 FINAL – V1.0</oddFooter>
    <firstHeader>&amp;L
Annex 5 – Schedule of Line Loss Factors</first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8">
    <pageSetUpPr autoPageBreaks="0" fitToPage="1"/>
  </sheetPr>
  <dimension ref="A1:P128"/>
  <sheetViews>
    <sheetView topLeftCell="A7" zoomScale="50" zoomScaleNormal="50" workbookViewId="0"/>
  </sheetViews>
  <sheetFormatPr defaultColWidth="9.15234375" defaultRowHeight="27.75" customHeight="1" x14ac:dyDescent="0.3"/>
  <cols>
    <col min="1" max="1" width="16" style="1" bestFit="1" customWidth="1"/>
    <col min="2" max="2" width="20.69140625" style="1" customWidth="1"/>
    <col min="3" max="3" width="22.3046875" style="2" customWidth="1"/>
    <col min="4" max="4" width="20.69140625" style="1" customWidth="1"/>
    <col min="5" max="5" width="21.53515625" style="2" customWidth="1"/>
    <col min="6" max="7" width="15.69140625" style="2" customWidth="1"/>
    <col min="8" max="8" width="15.69140625" style="7" customWidth="1"/>
    <col min="9" max="10" width="15.69140625" style="3" customWidth="1"/>
    <col min="11" max="12" width="15.69140625" style="1" customWidth="1"/>
    <col min="13" max="13" width="16.53515625" style="1" customWidth="1"/>
    <col min="14" max="15" width="15.53515625" style="1" customWidth="1"/>
    <col min="16" max="16" width="14.84375" style="1" customWidth="1"/>
    <col min="17" max="16384" width="9.15234375" style="1"/>
  </cols>
  <sheetData>
    <row r="1" spans="1:16" ht="56.25" customHeight="1" x14ac:dyDescent="0.3">
      <c r="A1" s="30" t="s">
        <v>19</v>
      </c>
      <c r="B1" s="30"/>
      <c r="D1" s="14"/>
      <c r="E1" s="618" t="s">
        <v>725</v>
      </c>
      <c r="F1" s="619"/>
      <c r="G1" s="619"/>
      <c r="H1" s="619"/>
      <c r="I1" s="619"/>
      <c r="J1" s="619"/>
      <c r="K1" s="620"/>
    </row>
    <row r="2" spans="1:16" ht="27.75" customHeight="1" x14ac:dyDescent="0.3">
      <c r="A2" s="698" t="s">
        <v>492</v>
      </c>
      <c r="B2" s="698"/>
      <c r="C2" s="698"/>
      <c r="D2" s="698"/>
      <c r="E2" s="698"/>
      <c r="F2" s="698"/>
      <c r="G2" s="698"/>
      <c r="H2" s="698"/>
      <c r="I2" s="698"/>
      <c r="J2" s="698"/>
      <c r="K2" s="698"/>
      <c r="L2" s="698"/>
      <c r="M2" s="698"/>
      <c r="N2" s="698"/>
      <c r="O2" s="698"/>
      <c r="P2" s="698"/>
    </row>
    <row r="3" spans="1:16" ht="17.25" customHeight="1" x14ac:dyDescent="0.3">
      <c r="A3" s="30"/>
      <c r="B3" s="30"/>
      <c r="D3" s="14"/>
    </row>
    <row r="4" spans="1:16" s="8" customFormat="1" ht="40" customHeight="1" x14ac:dyDescent="0.3">
      <c r="A4" s="552" t="str">
        <f>Overview!B4&amp;" - Effective from "&amp;Overview!D4&amp;" - Final new or amended EHV charges in UKPN EPN Area (GSP Group_A)"</f>
        <v>Indigo Power Limited - Effective from 1 April 2023 - Final new or amended EHV charges in UKPN EPN Area (GSP Group_A)</v>
      </c>
      <c r="B4" s="552"/>
      <c r="C4" s="552"/>
      <c r="D4" s="552"/>
      <c r="E4" s="552"/>
      <c r="F4" s="552"/>
      <c r="G4" s="552"/>
      <c r="H4" s="552"/>
      <c r="I4" s="552"/>
      <c r="J4" s="552"/>
      <c r="K4" s="552"/>
      <c r="L4" s="552"/>
      <c r="M4" s="552"/>
      <c r="N4" s="552"/>
      <c r="O4" s="223"/>
    </row>
    <row r="5" spans="1:16" ht="65.150000000000006" customHeight="1" x14ac:dyDescent="0.3">
      <c r="A5" s="18" t="s">
        <v>495</v>
      </c>
      <c r="B5" s="18" t="s">
        <v>471</v>
      </c>
      <c r="C5" s="18" t="s">
        <v>286</v>
      </c>
      <c r="D5" s="18" t="s">
        <v>472</v>
      </c>
      <c r="E5" s="18" t="s">
        <v>287</v>
      </c>
      <c r="F5" s="224" t="s">
        <v>29</v>
      </c>
      <c r="G5" s="128" t="s">
        <v>403</v>
      </c>
      <c r="H5" s="127" t="s">
        <v>297</v>
      </c>
      <c r="I5" s="127" t="s">
        <v>401</v>
      </c>
      <c r="J5" s="127" t="s">
        <v>457</v>
      </c>
      <c r="K5" s="127" t="s">
        <v>404</v>
      </c>
      <c r="L5" s="127" t="s">
        <v>298</v>
      </c>
      <c r="M5" s="127" t="s">
        <v>402</v>
      </c>
      <c r="N5" s="127" t="s">
        <v>458</v>
      </c>
      <c r="O5" s="223"/>
      <c r="P5" s="223"/>
    </row>
    <row r="6" spans="1:16" ht="22.5" customHeight="1" x14ac:dyDescent="0.3">
      <c r="A6" s="225"/>
      <c r="B6" s="225"/>
      <c r="C6" s="225"/>
      <c r="D6" s="225"/>
      <c r="E6" s="226"/>
      <c r="F6" s="227"/>
      <c r="G6" s="228"/>
      <c r="H6" s="229"/>
      <c r="I6" s="229"/>
      <c r="J6" s="229"/>
      <c r="K6" s="230"/>
      <c r="L6" s="231"/>
      <c r="M6" s="231"/>
      <c r="N6" s="231"/>
      <c r="O6" s="223"/>
      <c r="P6" s="65"/>
    </row>
    <row r="7" spans="1:16" ht="22.5" customHeight="1" x14ac:dyDescent="0.3">
      <c r="A7" s="223"/>
      <c r="B7" s="223"/>
      <c r="C7" s="223"/>
      <c r="D7" s="232"/>
      <c r="E7" s="232"/>
      <c r="F7" s="232"/>
      <c r="G7" s="232"/>
      <c r="H7" s="233"/>
      <c r="I7" s="234"/>
      <c r="J7" s="234"/>
      <c r="K7" s="223"/>
      <c r="L7" s="223"/>
      <c r="M7" s="223"/>
      <c r="N7" s="223"/>
      <c r="O7" s="223"/>
    </row>
    <row r="8" spans="1:16" ht="40" customHeight="1" x14ac:dyDescent="0.3">
      <c r="A8" s="552" t="str">
        <f>Overview!B4&amp;" - Effective from "&amp;Overview!D4&amp;" - Final new or amended EHV line loss factors in UKPN EPN Area (GSP Group_A)"</f>
        <v>Indigo Power Limited - Effective from 1 April 2023 - Final new or amended EHV line loss factors in UKPN EPN Area (GSP Group_A)</v>
      </c>
      <c r="B8" s="552"/>
      <c r="C8" s="552"/>
      <c r="D8" s="552"/>
      <c r="E8" s="552"/>
      <c r="F8" s="552"/>
      <c r="G8" s="552"/>
      <c r="H8" s="552"/>
      <c r="I8" s="552"/>
      <c r="J8" s="552"/>
      <c r="K8" s="552"/>
      <c r="L8" s="552"/>
      <c r="M8" s="552"/>
      <c r="N8" s="552"/>
      <c r="O8" s="552"/>
      <c r="P8" s="552"/>
    </row>
    <row r="9" spans="1:16" ht="65.150000000000006" customHeight="1" x14ac:dyDescent="0.3">
      <c r="A9" s="18" t="s">
        <v>495</v>
      </c>
      <c r="B9" s="18" t="s">
        <v>471</v>
      </c>
      <c r="C9" s="18" t="s">
        <v>286</v>
      </c>
      <c r="D9" s="18" t="s">
        <v>472</v>
      </c>
      <c r="E9" s="18" t="s">
        <v>287</v>
      </c>
      <c r="F9" s="224" t="s">
        <v>29</v>
      </c>
      <c r="G9" s="235" t="s">
        <v>481</v>
      </c>
      <c r="H9" s="235" t="s">
        <v>482</v>
      </c>
      <c r="I9" s="235" t="s">
        <v>483</v>
      </c>
      <c r="J9" s="235" t="s">
        <v>484</v>
      </c>
      <c r="K9" s="235" t="s">
        <v>485</v>
      </c>
      <c r="L9" s="236" t="s">
        <v>486</v>
      </c>
      <c r="M9" s="236" t="s">
        <v>487</v>
      </c>
      <c r="N9" s="236" t="s">
        <v>488</v>
      </c>
      <c r="O9" s="236" t="s">
        <v>489</v>
      </c>
      <c r="P9" s="236" t="s">
        <v>490</v>
      </c>
    </row>
    <row r="10" spans="1:16" ht="22.5" customHeight="1" x14ac:dyDescent="0.3">
      <c r="A10" s="225"/>
      <c r="B10" s="225"/>
      <c r="C10" s="225"/>
      <c r="D10" s="225"/>
      <c r="E10" s="226"/>
      <c r="F10" s="237"/>
      <c r="G10" s="238"/>
      <c r="H10" s="238"/>
      <c r="I10" s="239"/>
      <c r="J10" s="240"/>
      <c r="K10" s="240"/>
      <c r="L10" s="241"/>
      <c r="M10" s="241"/>
      <c r="N10" s="241"/>
      <c r="O10" s="241"/>
      <c r="P10" s="241"/>
    </row>
    <row r="11" spans="1:16" ht="22.5" customHeight="1" thickBot="1" x14ac:dyDescent="0.35">
      <c r="A11" s="242"/>
      <c r="B11" s="242"/>
      <c r="C11" s="242"/>
      <c r="D11" s="243"/>
      <c r="E11" s="243"/>
      <c r="F11" s="243"/>
      <c r="G11" s="243"/>
      <c r="H11" s="244"/>
      <c r="I11" s="245"/>
      <c r="J11" s="245"/>
      <c r="K11" s="242"/>
      <c r="L11" s="242"/>
      <c r="M11" s="242"/>
      <c r="N11" s="242"/>
      <c r="O11" s="242"/>
      <c r="P11" s="242"/>
    </row>
    <row r="12" spans="1:16" ht="22.5" customHeight="1" x14ac:dyDescent="0.3">
      <c r="A12" s="223"/>
      <c r="B12" s="223"/>
      <c r="C12" s="223"/>
      <c r="D12" s="232"/>
      <c r="E12" s="232"/>
      <c r="F12" s="232"/>
      <c r="G12" s="232"/>
      <c r="H12" s="233"/>
      <c r="I12" s="234"/>
      <c r="J12" s="234"/>
      <c r="K12" s="223"/>
      <c r="L12" s="223"/>
      <c r="M12" s="223"/>
      <c r="N12" s="223"/>
      <c r="O12" s="223"/>
    </row>
    <row r="13" spans="1:16" ht="40" customHeight="1" x14ac:dyDescent="0.3">
      <c r="A13" s="699" t="str">
        <f>Overview!B4&amp;" - Effective from "&amp;Overview!D4&amp;" - Final new or amended EHV charges in WPD EM Area (GSP Group_B)"</f>
        <v>Indigo Power Limited - Effective from 1 April 2023 - Final new or amended EHV charges in WPD EM Area (GSP Group_B)</v>
      </c>
      <c r="B13" s="699"/>
      <c r="C13" s="699"/>
      <c r="D13" s="699"/>
      <c r="E13" s="699"/>
      <c r="F13" s="699"/>
      <c r="G13" s="699"/>
      <c r="H13" s="699"/>
      <c r="I13" s="699"/>
      <c r="J13" s="699"/>
      <c r="K13" s="699"/>
      <c r="L13" s="699"/>
      <c r="M13" s="699"/>
      <c r="N13" s="699"/>
      <c r="O13" s="223"/>
    </row>
    <row r="14" spans="1:16" ht="65.150000000000006" customHeight="1" x14ac:dyDescent="0.3">
      <c r="A14" s="18" t="s">
        <v>495</v>
      </c>
      <c r="B14" s="18" t="s">
        <v>471</v>
      </c>
      <c r="C14" s="18" t="s">
        <v>286</v>
      </c>
      <c r="D14" s="18" t="s">
        <v>472</v>
      </c>
      <c r="E14" s="18" t="s">
        <v>287</v>
      </c>
      <c r="F14" s="224" t="s">
        <v>29</v>
      </c>
      <c r="G14" s="128" t="s">
        <v>403</v>
      </c>
      <c r="H14" s="127" t="s">
        <v>297</v>
      </c>
      <c r="I14" s="127" t="s">
        <v>401</v>
      </c>
      <c r="J14" s="127" t="s">
        <v>457</v>
      </c>
      <c r="K14" s="127" t="s">
        <v>404</v>
      </c>
      <c r="L14" s="127" t="s">
        <v>298</v>
      </c>
      <c r="M14" s="127" t="s">
        <v>402</v>
      </c>
      <c r="N14" s="127" t="s">
        <v>458</v>
      </c>
      <c r="O14" s="223"/>
      <c r="P14" s="223"/>
    </row>
    <row r="15" spans="1:16" ht="22.5" customHeight="1" x14ac:dyDescent="0.3">
      <c r="A15" s="225"/>
      <c r="B15" s="225"/>
      <c r="C15" s="225"/>
      <c r="D15" s="225"/>
      <c r="E15" s="226"/>
      <c r="F15" s="227"/>
      <c r="G15" s="228"/>
      <c r="H15" s="229"/>
      <c r="I15" s="229"/>
      <c r="J15" s="229"/>
      <c r="K15" s="230"/>
      <c r="L15" s="231"/>
      <c r="M15" s="231"/>
      <c r="N15" s="231"/>
      <c r="O15" s="223"/>
      <c r="P15" s="223"/>
    </row>
    <row r="16" spans="1:16" ht="27.75" customHeight="1" x14ac:dyDescent="0.3">
      <c r="A16" s="223"/>
      <c r="B16" s="223"/>
      <c r="C16" s="223"/>
      <c r="D16" s="232"/>
      <c r="E16" s="232"/>
      <c r="F16" s="232"/>
      <c r="G16" s="232"/>
      <c r="H16" s="233"/>
      <c r="I16" s="234"/>
      <c r="J16" s="234"/>
      <c r="K16" s="223"/>
      <c r="L16" s="223"/>
      <c r="M16" s="223"/>
      <c r="N16" s="223"/>
      <c r="O16" s="223"/>
    </row>
    <row r="17" spans="1:16" ht="40" customHeight="1" x14ac:dyDescent="0.3">
      <c r="A17" s="552" t="str">
        <f>Overview!B4&amp;" - Effective from "&amp;Overview!D4&amp;" - Final new or amended EHV line loss factors in WPD EM Area (GSP Group_B)"</f>
        <v>Indigo Power Limited - Effective from 1 April 2023 - Final new or amended EHV line loss factors in WPD EM Area (GSP Group_B)</v>
      </c>
      <c r="B17" s="552"/>
      <c r="C17" s="552"/>
      <c r="D17" s="552"/>
      <c r="E17" s="552"/>
      <c r="F17" s="552"/>
      <c r="G17" s="552"/>
      <c r="H17" s="552"/>
      <c r="I17" s="552"/>
      <c r="J17" s="552"/>
      <c r="K17" s="552"/>
      <c r="L17" s="552"/>
      <c r="M17" s="552"/>
      <c r="N17" s="552"/>
      <c r="O17" s="223"/>
    </row>
    <row r="18" spans="1:16" ht="65.150000000000006" customHeight="1" x14ac:dyDescent="0.3">
      <c r="A18" s="18" t="s">
        <v>495</v>
      </c>
      <c r="B18" s="18" t="s">
        <v>471</v>
      </c>
      <c r="C18" s="18" t="s">
        <v>286</v>
      </c>
      <c r="D18" s="18" t="s">
        <v>472</v>
      </c>
      <c r="E18" s="18" t="s">
        <v>287</v>
      </c>
      <c r="F18" s="224" t="s">
        <v>29</v>
      </c>
      <c r="G18" s="235" t="s">
        <v>481</v>
      </c>
      <c r="H18" s="235" t="s">
        <v>482</v>
      </c>
      <c r="I18" s="235" t="s">
        <v>483</v>
      </c>
      <c r="J18" s="235" t="s">
        <v>484</v>
      </c>
      <c r="K18" s="236" t="s">
        <v>486</v>
      </c>
      <c r="L18" s="236" t="s">
        <v>487</v>
      </c>
      <c r="M18" s="236" t="s">
        <v>488</v>
      </c>
      <c r="N18" s="236" t="s">
        <v>489</v>
      </c>
      <c r="O18" s="65"/>
      <c r="P18" s="65"/>
    </row>
    <row r="19" spans="1:16" ht="22.5" customHeight="1" x14ac:dyDescent="0.3">
      <c r="A19" s="225"/>
      <c r="B19" s="225"/>
      <c r="C19" s="225"/>
      <c r="D19" s="225"/>
      <c r="E19" s="226"/>
      <c r="F19" s="237"/>
      <c r="G19" s="238"/>
      <c r="H19" s="238"/>
      <c r="I19" s="239"/>
      <c r="J19" s="240"/>
      <c r="K19" s="241"/>
      <c r="L19" s="241"/>
      <c r="M19" s="241"/>
      <c r="N19" s="241"/>
      <c r="O19" s="65"/>
      <c r="P19" s="65"/>
    </row>
    <row r="20" spans="1:16" ht="22.5" customHeight="1" thickBot="1" x14ac:dyDescent="0.35">
      <c r="A20" s="242"/>
      <c r="B20" s="242"/>
      <c r="C20" s="242"/>
      <c r="D20" s="243"/>
      <c r="E20" s="243"/>
      <c r="F20" s="243"/>
      <c r="G20" s="243"/>
      <c r="H20" s="244"/>
      <c r="I20" s="245"/>
      <c r="J20" s="245"/>
      <c r="K20" s="242"/>
      <c r="L20" s="242"/>
      <c r="M20" s="242"/>
      <c r="N20" s="246"/>
      <c r="O20" s="246"/>
      <c r="P20" s="246"/>
    </row>
    <row r="21" spans="1:16" ht="22.5" customHeight="1" x14ac:dyDescent="0.3">
      <c r="A21" s="223"/>
      <c r="B21" s="223"/>
      <c r="C21" s="223"/>
      <c r="D21" s="232"/>
      <c r="E21" s="232"/>
      <c r="F21" s="232"/>
      <c r="G21" s="232"/>
      <c r="H21" s="233"/>
      <c r="I21" s="234"/>
      <c r="J21" s="234"/>
      <c r="K21" s="223"/>
      <c r="L21" s="223"/>
      <c r="M21" s="223"/>
      <c r="N21" s="223"/>
      <c r="O21" s="223"/>
    </row>
    <row r="22" spans="1:16" ht="40" customHeight="1" x14ac:dyDescent="0.3">
      <c r="A22" s="552" t="str">
        <f>Overview!B4&amp;" - Effective from "&amp;Overview!D4&amp;" - Final new or amended EHV charges in UKPN LPN Area (GSP Group_C)"</f>
        <v>Indigo Power Limited - Effective from 1 April 2023 - Final new or amended EHV charges in UKPN LPN Area (GSP Group_C)</v>
      </c>
      <c r="B22" s="552"/>
      <c r="C22" s="552"/>
      <c r="D22" s="552"/>
      <c r="E22" s="552"/>
      <c r="F22" s="552"/>
      <c r="G22" s="552"/>
      <c r="H22" s="552"/>
      <c r="I22" s="552"/>
      <c r="J22" s="552"/>
      <c r="K22" s="552"/>
      <c r="L22" s="552"/>
      <c r="M22" s="552"/>
      <c r="N22" s="552"/>
      <c r="O22" s="223"/>
    </row>
    <row r="23" spans="1:16" ht="65.150000000000006" customHeight="1" x14ac:dyDescent="0.3">
      <c r="A23" s="18" t="s">
        <v>495</v>
      </c>
      <c r="B23" s="18" t="s">
        <v>471</v>
      </c>
      <c r="C23" s="18" t="s">
        <v>286</v>
      </c>
      <c r="D23" s="18" t="s">
        <v>472</v>
      </c>
      <c r="E23" s="18" t="s">
        <v>287</v>
      </c>
      <c r="F23" s="224" t="s">
        <v>29</v>
      </c>
      <c r="G23" s="128" t="s">
        <v>403</v>
      </c>
      <c r="H23" s="127" t="s">
        <v>297</v>
      </c>
      <c r="I23" s="127" t="s">
        <v>401</v>
      </c>
      <c r="J23" s="127" t="s">
        <v>457</v>
      </c>
      <c r="K23" s="127" t="s">
        <v>404</v>
      </c>
      <c r="L23" s="127" t="s">
        <v>298</v>
      </c>
      <c r="M23" s="127" t="s">
        <v>402</v>
      </c>
      <c r="N23" s="127" t="s">
        <v>458</v>
      </c>
      <c r="O23" s="223"/>
      <c r="P23" s="223"/>
    </row>
    <row r="24" spans="1:16" ht="22.5" customHeight="1" x14ac:dyDescent="0.3">
      <c r="A24" s="225"/>
      <c r="B24" s="225"/>
      <c r="C24" s="225"/>
      <c r="D24" s="225"/>
      <c r="E24" s="226"/>
      <c r="F24" s="227"/>
      <c r="G24" s="228"/>
      <c r="H24" s="229"/>
      <c r="I24" s="229"/>
      <c r="J24" s="229"/>
      <c r="K24" s="230"/>
      <c r="L24" s="231"/>
      <c r="M24" s="231"/>
      <c r="N24" s="231"/>
      <c r="O24" s="223"/>
      <c r="P24" s="223"/>
    </row>
    <row r="25" spans="1:16" ht="22.5" customHeight="1" x14ac:dyDescent="0.3">
      <c r="A25" s="223"/>
      <c r="B25" s="223"/>
      <c r="C25" s="223"/>
      <c r="D25" s="232"/>
      <c r="E25" s="232"/>
      <c r="F25" s="232"/>
      <c r="G25" s="232"/>
      <c r="H25" s="233"/>
      <c r="I25" s="234"/>
      <c r="J25" s="234"/>
      <c r="K25" s="223"/>
      <c r="L25" s="223"/>
      <c r="M25" s="223"/>
      <c r="N25" s="223"/>
      <c r="O25" s="223"/>
    </row>
    <row r="26" spans="1:16" ht="40" customHeight="1" x14ac:dyDescent="0.3">
      <c r="A26" s="552" t="str">
        <f>Overview!B4&amp;" - Effective from "&amp;Overview!D4&amp;" - Final new or amended EHV line loss factors in UKPN LPN Area (GSP Group_C)"</f>
        <v>Indigo Power Limited - Effective from 1 April 2023 - Final new or amended EHV line loss factors in UKPN LPN Area (GSP Group_C)</v>
      </c>
      <c r="B26" s="552"/>
      <c r="C26" s="552"/>
      <c r="D26" s="552"/>
      <c r="E26" s="552"/>
      <c r="F26" s="552"/>
      <c r="G26" s="552"/>
      <c r="H26" s="552"/>
      <c r="I26" s="552"/>
      <c r="J26" s="552"/>
      <c r="K26" s="552"/>
      <c r="L26" s="552"/>
      <c r="M26" s="552"/>
      <c r="N26" s="552"/>
      <c r="O26" s="552"/>
      <c r="P26" s="552"/>
    </row>
    <row r="27" spans="1:16" ht="65.150000000000006" customHeight="1" x14ac:dyDescent="0.3">
      <c r="A27" s="18" t="s">
        <v>495</v>
      </c>
      <c r="B27" s="18" t="s">
        <v>471</v>
      </c>
      <c r="C27" s="18" t="s">
        <v>286</v>
      </c>
      <c r="D27" s="18" t="s">
        <v>472</v>
      </c>
      <c r="E27" s="18" t="s">
        <v>287</v>
      </c>
      <c r="F27" s="224" t="s">
        <v>29</v>
      </c>
      <c r="G27" s="235" t="s">
        <v>481</v>
      </c>
      <c r="H27" s="235" t="s">
        <v>482</v>
      </c>
      <c r="I27" s="235" t="s">
        <v>483</v>
      </c>
      <c r="J27" s="235" t="s">
        <v>484</v>
      </c>
      <c r="K27" s="235" t="s">
        <v>485</v>
      </c>
      <c r="L27" s="236" t="s">
        <v>486</v>
      </c>
      <c r="M27" s="236" t="s">
        <v>487</v>
      </c>
      <c r="N27" s="236" t="s">
        <v>488</v>
      </c>
      <c r="O27" s="236" t="s">
        <v>489</v>
      </c>
      <c r="P27" s="236" t="s">
        <v>490</v>
      </c>
    </row>
    <row r="28" spans="1:16" ht="22.5" customHeight="1" x14ac:dyDescent="0.3">
      <c r="A28" s="225"/>
      <c r="B28" s="225"/>
      <c r="C28" s="225"/>
      <c r="D28" s="225"/>
      <c r="E28" s="226"/>
      <c r="F28" s="237"/>
      <c r="G28" s="238"/>
      <c r="H28" s="238"/>
      <c r="I28" s="239"/>
      <c r="J28" s="240"/>
      <c r="K28" s="240"/>
      <c r="L28" s="241"/>
      <c r="M28" s="241"/>
      <c r="N28" s="241"/>
      <c r="O28" s="241"/>
      <c r="P28" s="241"/>
    </row>
    <row r="29" spans="1:16" ht="27.75" customHeight="1" thickBot="1" x14ac:dyDescent="0.35">
      <c r="A29" s="242"/>
      <c r="B29" s="242"/>
      <c r="C29" s="242"/>
      <c r="D29" s="243"/>
      <c r="E29" s="243"/>
      <c r="F29" s="243"/>
      <c r="G29" s="243"/>
      <c r="H29" s="244"/>
      <c r="I29" s="245"/>
      <c r="J29" s="245"/>
      <c r="K29" s="242"/>
      <c r="L29" s="242"/>
      <c r="M29" s="242"/>
      <c r="N29" s="242"/>
      <c r="O29" s="242"/>
      <c r="P29" s="242"/>
    </row>
    <row r="30" spans="1:16" ht="27.75" customHeight="1" x14ac:dyDescent="0.3">
      <c r="A30" s="223"/>
      <c r="B30" s="223"/>
      <c r="C30" s="223"/>
      <c r="D30" s="232"/>
      <c r="E30" s="232"/>
      <c r="F30" s="232"/>
      <c r="G30" s="232"/>
      <c r="H30" s="233"/>
      <c r="I30" s="234"/>
      <c r="J30" s="234"/>
      <c r="K30" s="223"/>
      <c r="L30" s="223"/>
      <c r="M30" s="223"/>
      <c r="N30" s="223"/>
      <c r="O30" s="223"/>
    </row>
    <row r="31" spans="1:16" ht="40" customHeight="1" x14ac:dyDescent="0.3">
      <c r="A31" s="552" t="str">
        <f>Overview!B4&amp;" - Effective from "&amp;Overview!D4&amp;" - Final new or amended EHV charges in SP Manweb Area (GSP Group_D)"</f>
        <v>Indigo Power Limited - Effective from 1 April 2023 - Final new or amended EHV charges in SP Manweb Area (GSP Group_D)</v>
      </c>
      <c r="B31" s="552"/>
      <c r="C31" s="552"/>
      <c r="D31" s="552"/>
      <c r="E31" s="552"/>
      <c r="F31" s="552"/>
      <c r="G31" s="552"/>
      <c r="H31" s="552"/>
      <c r="I31" s="552"/>
      <c r="J31" s="552"/>
      <c r="K31" s="552"/>
      <c r="L31" s="552"/>
      <c r="M31" s="552"/>
      <c r="N31" s="552"/>
      <c r="O31" s="223"/>
    </row>
    <row r="32" spans="1:16" ht="65.150000000000006" customHeight="1" x14ac:dyDescent="0.3">
      <c r="A32" s="18" t="s">
        <v>495</v>
      </c>
      <c r="B32" s="18" t="s">
        <v>471</v>
      </c>
      <c r="C32" s="18" t="s">
        <v>286</v>
      </c>
      <c r="D32" s="18" t="s">
        <v>472</v>
      </c>
      <c r="E32" s="18" t="s">
        <v>287</v>
      </c>
      <c r="F32" s="224" t="s">
        <v>29</v>
      </c>
      <c r="G32" s="128" t="s">
        <v>403</v>
      </c>
      <c r="H32" s="127" t="s">
        <v>297</v>
      </c>
      <c r="I32" s="127" t="s">
        <v>401</v>
      </c>
      <c r="J32" s="127" t="s">
        <v>457</v>
      </c>
      <c r="K32" s="127" t="s">
        <v>404</v>
      </c>
      <c r="L32" s="127" t="s">
        <v>298</v>
      </c>
      <c r="M32" s="127" t="s">
        <v>402</v>
      </c>
      <c r="N32" s="127" t="s">
        <v>458</v>
      </c>
      <c r="O32" s="223"/>
      <c r="P32" s="223"/>
    </row>
    <row r="33" spans="1:16" ht="22.5" customHeight="1" x14ac:dyDescent="0.3">
      <c r="A33" s="225"/>
      <c r="B33" s="225"/>
      <c r="C33" s="225"/>
      <c r="D33" s="225"/>
      <c r="E33" s="226"/>
      <c r="F33" s="227"/>
      <c r="G33" s="228"/>
      <c r="H33" s="229"/>
      <c r="I33" s="229"/>
      <c r="J33" s="229"/>
      <c r="K33" s="230"/>
      <c r="L33" s="231"/>
      <c r="M33" s="231"/>
      <c r="N33" s="231"/>
      <c r="O33" s="223"/>
      <c r="P33" s="223"/>
    </row>
    <row r="34" spans="1:16" ht="27.75" customHeight="1" x14ac:dyDescent="0.3">
      <c r="A34" s="223"/>
      <c r="B34" s="223"/>
      <c r="C34" s="223"/>
      <c r="D34" s="232"/>
      <c r="E34" s="232"/>
      <c r="F34" s="232"/>
      <c r="G34" s="232"/>
      <c r="H34" s="233"/>
      <c r="I34" s="234"/>
      <c r="J34" s="234"/>
      <c r="K34" s="223"/>
      <c r="L34" s="223"/>
      <c r="M34" s="223"/>
      <c r="N34" s="223"/>
      <c r="O34" s="223"/>
    </row>
    <row r="35" spans="1:16" ht="40" customHeight="1" x14ac:dyDescent="0.3">
      <c r="A35" s="552" t="str">
        <f>Overview!B4&amp;" - Effective from "&amp;Overview!D4&amp;" - Final new or amended EHV line loss factors in SP Manweb Area (GSP Group_D)"</f>
        <v>Indigo Power Limited - Effective from 1 April 2023 - Final new or amended EHV line loss factors in SP Manweb Area (GSP Group_D)</v>
      </c>
      <c r="B35" s="552"/>
      <c r="C35" s="552"/>
      <c r="D35" s="552"/>
      <c r="E35" s="552"/>
      <c r="F35" s="552"/>
      <c r="G35" s="552"/>
      <c r="H35" s="552"/>
      <c r="I35" s="552"/>
      <c r="J35" s="552"/>
      <c r="K35" s="552"/>
      <c r="L35" s="552"/>
      <c r="M35" s="552"/>
      <c r="N35" s="552"/>
      <c r="O35" s="65"/>
    </row>
    <row r="36" spans="1:16" ht="65.150000000000006" customHeight="1" x14ac:dyDescent="0.3">
      <c r="A36" s="18" t="s">
        <v>495</v>
      </c>
      <c r="B36" s="18" t="s">
        <v>471</v>
      </c>
      <c r="C36" s="18" t="s">
        <v>286</v>
      </c>
      <c r="D36" s="18" t="s">
        <v>472</v>
      </c>
      <c r="E36" s="18" t="s">
        <v>287</v>
      </c>
      <c r="F36" s="224" t="s">
        <v>29</v>
      </c>
      <c r="G36" s="235" t="s">
        <v>481</v>
      </c>
      <c r="H36" s="235" t="s">
        <v>482</v>
      </c>
      <c r="I36" s="235" t="s">
        <v>483</v>
      </c>
      <c r="J36" s="235" t="s">
        <v>484</v>
      </c>
      <c r="K36" s="236" t="s">
        <v>486</v>
      </c>
      <c r="L36" s="236" t="s">
        <v>487</v>
      </c>
      <c r="M36" s="236" t="s">
        <v>488</v>
      </c>
      <c r="N36" s="236" t="s">
        <v>489</v>
      </c>
      <c r="O36" s="65"/>
      <c r="P36" s="65"/>
    </row>
    <row r="37" spans="1:16" ht="22.5" customHeight="1" x14ac:dyDescent="0.3">
      <c r="A37" s="225"/>
      <c r="B37" s="225"/>
      <c r="C37" s="225"/>
      <c r="D37" s="225"/>
      <c r="E37" s="226"/>
      <c r="F37" s="237"/>
      <c r="G37" s="238"/>
      <c r="H37" s="238"/>
      <c r="I37" s="239"/>
      <c r="J37" s="240"/>
      <c r="K37" s="241"/>
      <c r="L37" s="241"/>
      <c r="M37" s="241"/>
      <c r="N37" s="241"/>
      <c r="O37" s="65"/>
      <c r="P37" s="65"/>
    </row>
    <row r="38" spans="1:16" ht="27.75" customHeight="1" thickBot="1" x14ac:dyDescent="0.35">
      <c r="A38" s="242"/>
      <c r="B38" s="242"/>
      <c r="C38" s="242"/>
      <c r="D38" s="243"/>
      <c r="E38" s="243"/>
      <c r="F38" s="243"/>
      <c r="G38" s="243"/>
      <c r="H38" s="244"/>
      <c r="I38" s="245"/>
      <c r="J38" s="245"/>
      <c r="K38" s="242"/>
      <c r="L38" s="242"/>
      <c r="M38" s="242"/>
      <c r="N38" s="246"/>
      <c r="O38" s="246"/>
      <c r="P38" s="246"/>
    </row>
    <row r="39" spans="1:16" ht="27.75" customHeight="1" x14ac:dyDescent="0.3">
      <c r="A39" s="223"/>
      <c r="B39" s="223"/>
      <c r="C39" s="223"/>
      <c r="D39" s="232"/>
      <c r="E39" s="232"/>
      <c r="F39" s="232"/>
      <c r="G39" s="232"/>
      <c r="H39" s="233"/>
      <c r="I39" s="234"/>
      <c r="J39" s="234"/>
      <c r="K39" s="223"/>
      <c r="L39" s="223"/>
      <c r="M39" s="223"/>
      <c r="N39" s="223"/>
      <c r="O39" s="223"/>
    </row>
    <row r="40" spans="1:16" ht="40" customHeight="1" x14ac:dyDescent="0.3">
      <c r="A40" s="552" t="str">
        <f>Overview!B4&amp;" - Effective from "&amp;Overview!D4&amp;" - Final new or amended EHV charges in WPD West Midlands Area (GSP Group_E)"</f>
        <v>Indigo Power Limited - Effective from 1 April 2023 - Final new or amended EHV charges in WPD West Midlands Area (GSP Group_E)</v>
      </c>
      <c r="B40" s="552"/>
      <c r="C40" s="552"/>
      <c r="D40" s="552"/>
      <c r="E40" s="552"/>
      <c r="F40" s="552"/>
      <c r="G40" s="552"/>
      <c r="H40" s="552"/>
      <c r="I40" s="552"/>
      <c r="J40" s="552"/>
      <c r="K40" s="552"/>
      <c r="L40" s="552"/>
      <c r="M40" s="552"/>
      <c r="N40" s="552"/>
      <c r="O40" s="223"/>
    </row>
    <row r="41" spans="1:16" ht="65.150000000000006" customHeight="1" x14ac:dyDescent="0.3">
      <c r="A41" s="18" t="s">
        <v>495</v>
      </c>
      <c r="B41" s="18" t="s">
        <v>471</v>
      </c>
      <c r="C41" s="18" t="s">
        <v>286</v>
      </c>
      <c r="D41" s="18" t="s">
        <v>472</v>
      </c>
      <c r="E41" s="18" t="s">
        <v>287</v>
      </c>
      <c r="F41" s="224" t="s">
        <v>29</v>
      </c>
      <c r="G41" s="128" t="s">
        <v>403</v>
      </c>
      <c r="H41" s="127" t="s">
        <v>297</v>
      </c>
      <c r="I41" s="127" t="s">
        <v>401</v>
      </c>
      <c r="J41" s="127" t="s">
        <v>457</v>
      </c>
      <c r="K41" s="127" t="s">
        <v>404</v>
      </c>
      <c r="L41" s="127" t="s">
        <v>298</v>
      </c>
      <c r="M41" s="127" t="s">
        <v>402</v>
      </c>
      <c r="N41" s="127" t="s">
        <v>458</v>
      </c>
      <c r="O41" s="223"/>
      <c r="P41" s="223"/>
    </row>
    <row r="42" spans="1:16" ht="22.5" customHeight="1" x14ac:dyDescent="0.3">
      <c r="A42" s="225"/>
      <c r="B42" s="225"/>
      <c r="C42" s="225"/>
      <c r="D42" s="225"/>
      <c r="E42" s="226"/>
      <c r="F42" s="227"/>
      <c r="G42" s="228"/>
      <c r="H42" s="229"/>
      <c r="I42" s="229"/>
      <c r="J42" s="229"/>
      <c r="K42" s="230"/>
      <c r="L42" s="231"/>
      <c r="M42" s="231"/>
      <c r="N42" s="231"/>
      <c r="O42" s="223"/>
      <c r="P42" s="223"/>
    </row>
    <row r="43" spans="1:16" ht="27.75" customHeight="1" x14ac:dyDescent="0.3">
      <c r="A43" s="223"/>
      <c r="B43" s="223"/>
      <c r="C43" s="223"/>
      <c r="D43" s="232"/>
      <c r="E43" s="232"/>
      <c r="F43" s="232"/>
      <c r="G43" s="232"/>
      <c r="H43" s="233"/>
      <c r="I43" s="234"/>
      <c r="J43" s="234"/>
      <c r="K43" s="223"/>
      <c r="L43" s="223"/>
      <c r="M43" s="223"/>
      <c r="N43" s="223"/>
      <c r="O43" s="223"/>
    </row>
    <row r="44" spans="1:16" ht="40" customHeight="1" x14ac:dyDescent="0.3">
      <c r="A44" s="552" t="str">
        <f>Overview!B4&amp;" - Effective from "&amp;Overview!D4&amp;" - Final new or amended EHV line loss factors in WPD West Midlands Area (GSP Group_E)"</f>
        <v>Indigo Power Limited - Effective from 1 April 2023 - Final new or amended EHV line loss factors in WPD West Midlands Area (GSP Group_E)</v>
      </c>
      <c r="B44" s="552"/>
      <c r="C44" s="552"/>
      <c r="D44" s="552"/>
      <c r="E44" s="552"/>
      <c r="F44" s="552"/>
      <c r="G44" s="552"/>
      <c r="H44" s="552"/>
      <c r="I44" s="552"/>
      <c r="J44" s="552"/>
      <c r="K44" s="552"/>
      <c r="L44" s="552"/>
      <c r="M44" s="552"/>
      <c r="N44" s="552"/>
      <c r="O44" s="65"/>
    </row>
    <row r="45" spans="1:16" ht="65.150000000000006" customHeight="1" x14ac:dyDescent="0.3">
      <c r="A45" s="18" t="s">
        <v>495</v>
      </c>
      <c r="B45" s="18" t="s">
        <v>471</v>
      </c>
      <c r="C45" s="18" t="s">
        <v>286</v>
      </c>
      <c r="D45" s="18" t="s">
        <v>472</v>
      </c>
      <c r="E45" s="18" t="s">
        <v>287</v>
      </c>
      <c r="F45" s="224" t="s">
        <v>29</v>
      </c>
      <c r="G45" s="235" t="s">
        <v>481</v>
      </c>
      <c r="H45" s="235" t="s">
        <v>482</v>
      </c>
      <c r="I45" s="235" t="s">
        <v>483</v>
      </c>
      <c r="J45" s="235" t="s">
        <v>484</v>
      </c>
      <c r="K45" s="236" t="s">
        <v>486</v>
      </c>
      <c r="L45" s="236" t="s">
        <v>487</v>
      </c>
      <c r="M45" s="236" t="s">
        <v>488</v>
      </c>
      <c r="N45" s="236" t="s">
        <v>489</v>
      </c>
      <c r="O45" s="65"/>
      <c r="P45" s="65"/>
    </row>
    <row r="46" spans="1:16" ht="22.5" customHeight="1" x14ac:dyDescent="0.3">
      <c r="A46" s="225"/>
      <c r="B46" s="225"/>
      <c r="C46" s="225"/>
      <c r="D46" s="225"/>
      <c r="E46" s="226"/>
      <c r="F46" s="237"/>
      <c r="G46" s="238"/>
      <c r="H46" s="238"/>
      <c r="I46" s="239"/>
      <c r="J46" s="240"/>
      <c r="K46" s="241"/>
      <c r="L46" s="241"/>
      <c r="M46" s="241"/>
      <c r="N46" s="241"/>
      <c r="O46" s="65"/>
      <c r="P46" s="65"/>
    </row>
    <row r="47" spans="1:16" ht="27.75" customHeight="1" thickBot="1" x14ac:dyDescent="0.35">
      <c r="A47" s="242"/>
      <c r="B47" s="242"/>
      <c r="C47" s="242"/>
      <c r="D47" s="243"/>
      <c r="E47" s="243"/>
      <c r="F47" s="243"/>
      <c r="G47" s="243"/>
      <c r="H47" s="244"/>
      <c r="I47" s="245"/>
      <c r="J47" s="245"/>
      <c r="K47" s="242"/>
      <c r="L47" s="242"/>
      <c r="M47" s="242"/>
      <c r="N47" s="246"/>
      <c r="O47" s="246"/>
      <c r="P47" s="246"/>
    </row>
    <row r="48" spans="1:16" ht="27.75" customHeight="1" x14ac:dyDescent="0.3">
      <c r="A48" s="223"/>
      <c r="B48" s="223"/>
      <c r="C48" s="223"/>
      <c r="D48" s="232"/>
      <c r="E48" s="232"/>
      <c r="F48" s="232"/>
      <c r="G48" s="232"/>
      <c r="H48" s="233"/>
      <c r="I48" s="234"/>
      <c r="J48" s="234"/>
      <c r="K48" s="223"/>
      <c r="L48" s="223"/>
      <c r="M48" s="223"/>
      <c r="N48" s="223"/>
      <c r="O48" s="223"/>
    </row>
    <row r="49" spans="1:16" ht="40" customHeight="1" x14ac:dyDescent="0.3">
      <c r="A49" s="552" t="str">
        <f>Overview!B4&amp;" - Effective from "&amp;Overview!D4&amp;" - Final new or amended EHV charges in NPG Northeast Area (GSP Group_F)"</f>
        <v>Indigo Power Limited - Effective from 1 April 2023 - Final new or amended EHV charges in NPG Northeast Area (GSP Group_F)</v>
      </c>
      <c r="B49" s="552"/>
      <c r="C49" s="552"/>
      <c r="D49" s="552"/>
      <c r="E49" s="552"/>
      <c r="F49" s="552"/>
      <c r="G49" s="552"/>
      <c r="H49" s="552"/>
      <c r="I49" s="552"/>
      <c r="J49" s="552"/>
      <c r="K49" s="552"/>
      <c r="L49" s="552"/>
      <c r="M49" s="552"/>
      <c r="N49" s="552"/>
      <c r="O49" s="223"/>
    </row>
    <row r="50" spans="1:16" ht="65.150000000000006" customHeight="1" x14ac:dyDescent="0.3">
      <c r="A50" s="18" t="s">
        <v>495</v>
      </c>
      <c r="B50" s="18" t="s">
        <v>471</v>
      </c>
      <c r="C50" s="18" t="s">
        <v>286</v>
      </c>
      <c r="D50" s="18" t="s">
        <v>472</v>
      </c>
      <c r="E50" s="18" t="s">
        <v>287</v>
      </c>
      <c r="F50" s="224" t="s">
        <v>29</v>
      </c>
      <c r="G50" s="128" t="s">
        <v>403</v>
      </c>
      <c r="H50" s="127" t="s">
        <v>297</v>
      </c>
      <c r="I50" s="127" t="s">
        <v>401</v>
      </c>
      <c r="J50" s="127" t="s">
        <v>457</v>
      </c>
      <c r="K50" s="127" t="s">
        <v>404</v>
      </c>
      <c r="L50" s="127" t="s">
        <v>298</v>
      </c>
      <c r="M50" s="127" t="s">
        <v>402</v>
      </c>
      <c r="N50" s="127" t="s">
        <v>458</v>
      </c>
      <c r="O50" s="223"/>
      <c r="P50" s="223"/>
    </row>
    <row r="51" spans="1:16" ht="22.5" customHeight="1" x14ac:dyDescent="0.3">
      <c r="A51" s="225"/>
      <c r="B51" s="225"/>
      <c r="C51" s="225"/>
      <c r="D51" s="225"/>
      <c r="E51" s="226"/>
      <c r="F51" s="227"/>
      <c r="G51" s="228"/>
      <c r="H51" s="229"/>
      <c r="I51" s="229"/>
      <c r="J51" s="229"/>
      <c r="K51" s="230"/>
      <c r="L51" s="231"/>
      <c r="M51" s="231"/>
      <c r="N51" s="231"/>
      <c r="O51" s="223"/>
      <c r="P51" s="223"/>
    </row>
    <row r="52" spans="1:16" ht="27.75" customHeight="1" x14ac:dyDescent="0.3">
      <c r="A52" s="223"/>
      <c r="B52" s="223"/>
      <c r="C52" s="223"/>
      <c r="D52" s="232"/>
      <c r="E52" s="232"/>
      <c r="F52" s="232"/>
      <c r="G52" s="232"/>
      <c r="H52" s="233"/>
      <c r="I52" s="234"/>
      <c r="J52" s="234"/>
      <c r="K52" s="223"/>
      <c r="L52" s="223"/>
      <c r="M52" s="223"/>
      <c r="N52" s="223"/>
      <c r="O52" s="223"/>
    </row>
    <row r="53" spans="1:16" ht="40" customHeight="1" x14ac:dyDescent="0.3">
      <c r="A53" s="552" t="str">
        <f>Overview!B4&amp;" - Effective from "&amp;Overview!D4&amp;" - Final new or amended EHV line loss factors in NPG Northeast Area (GSP Group_F)"</f>
        <v>Indigo Power Limited - Effective from 1 April 2023 - Final new or amended EHV line loss factors in NPG Northeast Area (GSP Group_F)</v>
      </c>
      <c r="B53" s="552"/>
      <c r="C53" s="552"/>
      <c r="D53" s="552"/>
      <c r="E53" s="552"/>
      <c r="F53" s="552"/>
      <c r="G53" s="552"/>
      <c r="H53" s="552"/>
      <c r="I53" s="552"/>
      <c r="J53" s="552"/>
      <c r="K53" s="552"/>
      <c r="L53" s="552"/>
      <c r="M53" s="552"/>
      <c r="N53" s="552"/>
      <c r="O53" s="65"/>
    </row>
    <row r="54" spans="1:16" ht="65.150000000000006" customHeight="1" x14ac:dyDescent="0.3">
      <c r="A54" s="18" t="s">
        <v>495</v>
      </c>
      <c r="B54" s="18" t="s">
        <v>471</v>
      </c>
      <c r="C54" s="18" t="s">
        <v>286</v>
      </c>
      <c r="D54" s="18" t="s">
        <v>472</v>
      </c>
      <c r="E54" s="18" t="s">
        <v>287</v>
      </c>
      <c r="F54" s="224" t="s">
        <v>29</v>
      </c>
      <c r="G54" s="235" t="s">
        <v>481</v>
      </c>
      <c r="H54" s="235" t="s">
        <v>482</v>
      </c>
      <c r="I54" s="235" t="s">
        <v>483</v>
      </c>
      <c r="J54" s="235" t="s">
        <v>484</v>
      </c>
      <c r="K54" s="236" t="s">
        <v>486</v>
      </c>
      <c r="L54" s="236" t="s">
        <v>487</v>
      </c>
      <c r="M54" s="236" t="s">
        <v>488</v>
      </c>
      <c r="N54" s="236" t="s">
        <v>489</v>
      </c>
      <c r="O54" s="65"/>
      <c r="P54" s="65"/>
    </row>
    <row r="55" spans="1:16" ht="22.5" customHeight="1" x14ac:dyDescent="0.3">
      <c r="A55" s="225"/>
      <c r="B55" s="225"/>
      <c r="C55" s="225"/>
      <c r="D55" s="225"/>
      <c r="E55" s="226"/>
      <c r="F55" s="237"/>
      <c r="G55" s="238"/>
      <c r="H55" s="238"/>
      <c r="I55" s="239"/>
      <c r="J55" s="240"/>
      <c r="K55" s="241"/>
      <c r="L55" s="241"/>
      <c r="M55" s="241"/>
      <c r="N55" s="241"/>
      <c r="O55" s="65"/>
      <c r="P55" s="65"/>
    </row>
    <row r="56" spans="1:16" ht="27.75" customHeight="1" thickBot="1" x14ac:dyDescent="0.35">
      <c r="A56" s="242"/>
      <c r="B56" s="242"/>
      <c r="C56" s="242"/>
      <c r="D56" s="243"/>
      <c r="E56" s="243"/>
      <c r="F56" s="243"/>
      <c r="G56" s="243"/>
      <c r="H56" s="244"/>
      <c r="I56" s="245"/>
      <c r="J56" s="245"/>
      <c r="K56" s="242"/>
      <c r="L56" s="242"/>
      <c r="M56" s="242"/>
      <c r="N56" s="246"/>
      <c r="O56" s="246"/>
      <c r="P56" s="246"/>
    </row>
    <row r="57" spans="1:16" ht="27.75" customHeight="1" x14ac:dyDescent="0.3">
      <c r="A57" s="223"/>
      <c r="B57" s="223"/>
      <c r="C57" s="223"/>
      <c r="D57" s="232"/>
      <c r="E57" s="232"/>
      <c r="F57" s="232"/>
      <c r="G57" s="232"/>
      <c r="H57" s="233"/>
      <c r="I57" s="234"/>
      <c r="J57" s="234"/>
      <c r="K57" s="223"/>
      <c r="L57" s="223"/>
      <c r="M57" s="223"/>
      <c r="N57" s="223"/>
      <c r="O57" s="223"/>
    </row>
    <row r="58" spans="1:16" ht="40" customHeight="1" x14ac:dyDescent="0.3">
      <c r="A58" s="552" t="str">
        <f>Overview!B4&amp;" - Effective from "&amp;Overview!D4&amp;" - Final new or amended EHV charges in Electricity North West Area (GSP Group_G)"</f>
        <v>Indigo Power Limited - Effective from 1 April 2023 - Final new or amended EHV charges in Electricity North West Area (GSP Group_G)</v>
      </c>
      <c r="B58" s="552"/>
      <c r="C58" s="552"/>
      <c r="D58" s="552"/>
      <c r="E58" s="552"/>
      <c r="F58" s="552"/>
      <c r="G58" s="552"/>
      <c r="H58" s="552"/>
      <c r="I58" s="552"/>
      <c r="J58" s="552"/>
      <c r="K58" s="552"/>
      <c r="L58" s="552"/>
      <c r="M58" s="552"/>
      <c r="N58" s="552"/>
      <c r="O58" s="223"/>
    </row>
    <row r="59" spans="1:16" ht="65.150000000000006" customHeight="1" x14ac:dyDescent="0.3">
      <c r="A59" s="18" t="s">
        <v>495</v>
      </c>
      <c r="B59" s="18" t="s">
        <v>471</v>
      </c>
      <c r="C59" s="18" t="s">
        <v>286</v>
      </c>
      <c r="D59" s="18" t="s">
        <v>472</v>
      </c>
      <c r="E59" s="18" t="s">
        <v>287</v>
      </c>
      <c r="F59" s="224" t="s">
        <v>29</v>
      </c>
      <c r="G59" s="128" t="s">
        <v>403</v>
      </c>
      <c r="H59" s="127" t="s">
        <v>297</v>
      </c>
      <c r="I59" s="127" t="s">
        <v>401</v>
      </c>
      <c r="J59" s="127" t="s">
        <v>457</v>
      </c>
      <c r="K59" s="127" t="s">
        <v>404</v>
      </c>
      <c r="L59" s="127" t="s">
        <v>298</v>
      </c>
      <c r="M59" s="127" t="s">
        <v>402</v>
      </c>
      <c r="N59" s="127" t="s">
        <v>458</v>
      </c>
      <c r="O59" s="223"/>
      <c r="P59" s="223"/>
    </row>
    <row r="60" spans="1:16" ht="22.5" customHeight="1" x14ac:dyDescent="0.3">
      <c r="A60" s="225"/>
      <c r="B60" s="225"/>
      <c r="C60" s="225"/>
      <c r="D60" s="225"/>
      <c r="E60" s="226"/>
      <c r="F60" s="227"/>
      <c r="G60" s="228"/>
      <c r="H60" s="229"/>
      <c r="I60" s="229"/>
      <c r="J60" s="229"/>
      <c r="K60" s="230"/>
      <c r="L60" s="231"/>
      <c r="M60" s="231"/>
      <c r="N60" s="231"/>
      <c r="O60" s="223"/>
      <c r="P60" s="223"/>
    </row>
    <row r="61" spans="1:16" ht="27.75" customHeight="1" x14ac:dyDescent="0.3">
      <c r="A61" s="223"/>
      <c r="B61" s="223"/>
      <c r="C61" s="223"/>
      <c r="D61" s="232"/>
      <c r="E61" s="232"/>
      <c r="F61" s="232"/>
      <c r="G61" s="232"/>
      <c r="H61" s="233"/>
      <c r="I61" s="234"/>
      <c r="J61" s="234"/>
      <c r="K61" s="223"/>
      <c r="L61" s="223"/>
      <c r="M61" s="223"/>
      <c r="N61" s="223"/>
      <c r="O61" s="223"/>
    </row>
    <row r="62" spans="1:16" ht="40" customHeight="1" x14ac:dyDescent="0.3">
      <c r="A62" s="552" t="str">
        <f>Overview!B4&amp;" - Effective from "&amp;Overview!D4&amp;" - Final new or amended EHV line loss factors in Electricity North West Area (GSP Group_G)"</f>
        <v>Indigo Power Limited - Effective from 1 April 2023 - Final new or amended EHV line loss factors in Electricity North West Area (GSP Group_G)</v>
      </c>
      <c r="B62" s="552"/>
      <c r="C62" s="552"/>
      <c r="D62" s="552"/>
      <c r="E62" s="552"/>
      <c r="F62" s="552"/>
      <c r="G62" s="552"/>
      <c r="H62" s="552"/>
      <c r="I62" s="552"/>
      <c r="J62" s="552"/>
      <c r="K62" s="552"/>
      <c r="L62" s="552"/>
      <c r="M62" s="552"/>
      <c r="N62" s="552"/>
      <c r="O62" s="65"/>
    </row>
    <row r="63" spans="1:16" ht="65.150000000000006" customHeight="1" x14ac:dyDescent="0.3">
      <c r="A63" s="18" t="s">
        <v>495</v>
      </c>
      <c r="B63" s="18" t="s">
        <v>471</v>
      </c>
      <c r="C63" s="18" t="s">
        <v>286</v>
      </c>
      <c r="D63" s="18" t="s">
        <v>472</v>
      </c>
      <c r="E63" s="18" t="s">
        <v>287</v>
      </c>
      <c r="F63" s="224" t="s">
        <v>29</v>
      </c>
      <c r="G63" s="235" t="s">
        <v>481</v>
      </c>
      <c r="H63" s="235" t="s">
        <v>482</v>
      </c>
      <c r="I63" s="235" t="s">
        <v>483</v>
      </c>
      <c r="J63" s="235" t="s">
        <v>484</v>
      </c>
      <c r="K63" s="236" t="s">
        <v>486</v>
      </c>
      <c r="L63" s="236" t="s">
        <v>487</v>
      </c>
      <c r="M63" s="236" t="s">
        <v>488</v>
      </c>
      <c r="N63" s="236" t="s">
        <v>489</v>
      </c>
      <c r="O63" s="65"/>
      <c r="P63" s="65"/>
    </row>
    <row r="64" spans="1:16" ht="22.5" customHeight="1" x14ac:dyDescent="0.3">
      <c r="A64" s="225"/>
      <c r="B64" s="225"/>
      <c r="C64" s="225"/>
      <c r="D64" s="225"/>
      <c r="E64" s="226"/>
      <c r="F64" s="237"/>
      <c r="G64" s="238"/>
      <c r="H64" s="238"/>
      <c r="I64" s="239"/>
      <c r="J64" s="240"/>
      <c r="K64" s="241"/>
      <c r="L64" s="241"/>
      <c r="M64" s="241"/>
      <c r="N64" s="241"/>
      <c r="O64" s="65"/>
      <c r="P64" s="65"/>
    </row>
    <row r="65" spans="1:16" ht="27.75" customHeight="1" thickBot="1" x14ac:dyDescent="0.35">
      <c r="A65" s="242"/>
      <c r="B65" s="242"/>
      <c r="C65" s="242"/>
      <c r="D65" s="243"/>
      <c r="E65" s="243"/>
      <c r="F65" s="243"/>
      <c r="G65" s="243"/>
      <c r="H65" s="244"/>
      <c r="I65" s="245"/>
      <c r="J65" s="245"/>
      <c r="K65" s="242"/>
      <c r="L65" s="242"/>
      <c r="M65" s="242"/>
      <c r="N65" s="246"/>
      <c r="O65" s="246"/>
      <c r="P65" s="246"/>
    </row>
    <row r="66" spans="1:16" ht="27.75" customHeight="1" x14ac:dyDescent="0.3">
      <c r="A66" s="247"/>
      <c r="B66" s="247"/>
      <c r="C66" s="247"/>
      <c r="D66" s="248"/>
      <c r="E66" s="248"/>
      <c r="F66" s="248"/>
      <c r="G66" s="248"/>
      <c r="H66" s="249"/>
      <c r="I66" s="250"/>
      <c r="J66" s="250"/>
      <c r="K66" s="247"/>
      <c r="L66" s="247"/>
      <c r="M66" s="247"/>
      <c r="N66" s="223"/>
      <c r="O66" s="223"/>
      <c r="P66" s="223"/>
    </row>
    <row r="67" spans="1:16" ht="42" customHeight="1" x14ac:dyDescent="0.3">
      <c r="A67" s="552" t="str">
        <f>Overview!B4&amp;" - Effective from "&amp;Overview!D4&amp;" - Final new or amended EHV charges in SSE SEPD Area (GSP Group_H)"</f>
        <v>Indigo Power Limited - Effective from 1 April 2023 - Final new or amended EHV charges in SSE SEPD Area (GSP Group_H)</v>
      </c>
      <c r="B67" s="552"/>
      <c r="C67" s="552"/>
      <c r="D67" s="552"/>
      <c r="E67" s="552"/>
      <c r="F67" s="552"/>
      <c r="G67" s="552"/>
      <c r="H67" s="552"/>
      <c r="I67" s="552"/>
      <c r="J67" s="552"/>
      <c r="K67" s="552"/>
      <c r="L67" s="552"/>
      <c r="M67" s="552"/>
      <c r="N67" s="552"/>
      <c r="O67" s="223"/>
    </row>
    <row r="68" spans="1:16" ht="68.25" customHeight="1" x14ac:dyDescent="0.3">
      <c r="A68" s="18" t="s">
        <v>495</v>
      </c>
      <c r="B68" s="18" t="s">
        <v>471</v>
      </c>
      <c r="C68" s="18" t="s">
        <v>286</v>
      </c>
      <c r="D68" s="18" t="s">
        <v>472</v>
      </c>
      <c r="E68" s="18" t="s">
        <v>287</v>
      </c>
      <c r="F68" s="224" t="s">
        <v>29</v>
      </c>
      <c r="G68" s="128" t="s">
        <v>403</v>
      </c>
      <c r="H68" s="127" t="s">
        <v>297</v>
      </c>
      <c r="I68" s="127" t="s">
        <v>401</v>
      </c>
      <c r="J68" s="127" t="s">
        <v>457</v>
      </c>
      <c r="K68" s="127" t="s">
        <v>404</v>
      </c>
      <c r="L68" s="127" t="s">
        <v>298</v>
      </c>
      <c r="M68" s="127" t="s">
        <v>402</v>
      </c>
      <c r="N68" s="127" t="s">
        <v>458</v>
      </c>
      <c r="O68" s="223"/>
      <c r="P68" s="223"/>
    </row>
    <row r="69" spans="1:16" ht="27.75" customHeight="1" x14ac:dyDescent="0.3">
      <c r="A69" s="225"/>
      <c r="B69" s="225"/>
      <c r="C69" s="225"/>
      <c r="D69" s="225"/>
      <c r="E69" s="226"/>
      <c r="F69" s="227"/>
      <c r="G69" s="228"/>
      <c r="H69" s="229"/>
      <c r="I69" s="229"/>
      <c r="J69" s="229"/>
      <c r="K69" s="230"/>
      <c r="L69" s="231"/>
      <c r="M69" s="231"/>
      <c r="N69" s="231"/>
      <c r="O69" s="223"/>
      <c r="P69" s="223"/>
    </row>
    <row r="70" spans="1:16" ht="27.75" customHeight="1" x14ac:dyDescent="0.3">
      <c r="A70" s="223"/>
      <c r="B70" s="223"/>
      <c r="C70" s="223"/>
      <c r="D70" s="232"/>
      <c r="E70" s="232"/>
      <c r="F70" s="232"/>
      <c r="G70" s="232"/>
      <c r="H70" s="233"/>
      <c r="I70" s="234"/>
      <c r="J70" s="234"/>
      <c r="K70" s="223"/>
      <c r="L70" s="223"/>
      <c r="M70" s="223"/>
      <c r="N70" s="223"/>
      <c r="O70" s="223"/>
    </row>
    <row r="71" spans="1:16" ht="48" customHeight="1" x14ac:dyDescent="0.3">
      <c r="A71" s="552" t="str">
        <f>Overview!B4&amp;" - Effective from "&amp;Overview!D4&amp;" - Final new or amended EHV line loss factors in SSE SEPD Area (GSP Group_H)"</f>
        <v>Indigo Power Limited - Effective from 1 April 2023 - Final new or amended EHV line loss factors in SSE SEPD Area (GSP Group_H)</v>
      </c>
      <c r="B71" s="552"/>
      <c r="C71" s="552"/>
      <c r="D71" s="552"/>
      <c r="E71" s="552"/>
      <c r="F71" s="552"/>
      <c r="G71" s="552"/>
      <c r="H71" s="552"/>
      <c r="I71" s="552"/>
      <c r="J71" s="552"/>
      <c r="K71" s="552"/>
      <c r="L71" s="552"/>
      <c r="M71" s="552"/>
      <c r="N71" s="552"/>
      <c r="O71" s="552"/>
      <c r="P71" s="552"/>
    </row>
    <row r="72" spans="1:16" ht="45.75" customHeight="1" x14ac:dyDescent="0.3">
      <c r="A72" s="18" t="s">
        <v>495</v>
      </c>
      <c r="B72" s="18" t="s">
        <v>471</v>
      </c>
      <c r="C72" s="18" t="s">
        <v>286</v>
      </c>
      <c r="D72" s="18" t="s">
        <v>472</v>
      </c>
      <c r="E72" s="18" t="s">
        <v>287</v>
      </c>
      <c r="F72" s="224" t="s">
        <v>29</v>
      </c>
      <c r="G72" s="235" t="s">
        <v>481</v>
      </c>
      <c r="H72" s="235" t="s">
        <v>482</v>
      </c>
      <c r="I72" s="235" t="s">
        <v>483</v>
      </c>
      <c r="J72" s="235" t="s">
        <v>484</v>
      </c>
      <c r="K72" s="235" t="s">
        <v>485</v>
      </c>
      <c r="L72" s="236" t="s">
        <v>486</v>
      </c>
      <c r="M72" s="236" t="s">
        <v>487</v>
      </c>
      <c r="N72" s="236" t="s">
        <v>488</v>
      </c>
      <c r="O72" s="236" t="s">
        <v>489</v>
      </c>
      <c r="P72" s="236" t="s">
        <v>490</v>
      </c>
    </row>
    <row r="73" spans="1:16" ht="27.75" customHeight="1" x14ac:dyDescent="0.3">
      <c r="A73" s="225"/>
      <c r="B73" s="225"/>
      <c r="C73" s="225"/>
      <c r="D73" s="225"/>
      <c r="E73" s="226"/>
      <c r="F73" s="237"/>
      <c r="G73" s="238"/>
      <c r="H73" s="238"/>
      <c r="I73" s="239"/>
      <c r="J73" s="240"/>
      <c r="K73" s="240"/>
      <c r="L73" s="241"/>
      <c r="M73" s="241"/>
      <c r="N73" s="241"/>
      <c r="O73" s="241"/>
      <c r="P73" s="241"/>
    </row>
    <row r="74" spans="1:16" ht="27.75" customHeight="1" thickBot="1" x14ac:dyDescent="0.35">
      <c r="A74" s="242"/>
      <c r="B74" s="242"/>
      <c r="C74" s="242"/>
      <c r="D74" s="243"/>
      <c r="E74" s="243"/>
      <c r="F74" s="243"/>
      <c r="G74" s="243"/>
      <c r="H74" s="244"/>
      <c r="I74" s="245"/>
      <c r="J74" s="245"/>
      <c r="K74" s="242"/>
      <c r="L74" s="242"/>
      <c r="M74" s="242"/>
      <c r="N74" s="242"/>
      <c r="O74" s="242"/>
      <c r="P74" s="246"/>
    </row>
    <row r="75" spans="1:16" ht="27.75" customHeight="1" x14ac:dyDescent="0.3">
      <c r="A75" s="247"/>
      <c r="B75" s="247"/>
      <c r="C75" s="247"/>
      <c r="D75" s="248"/>
      <c r="E75" s="248"/>
      <c r="F75" s="248"/>
      <c r="G75" s="248"/>
      <c r="H75" s="249"/>
      <c r="I75" s="250"/>
      <c r="J75" s="250"/>
      <c r="K75" s="247"/>
      <c r="L75" s="247"/>
      <c r="M75" s="247"/>
      <c r="N75" s="223"/>
      <c r="O75" s="223"/>
    </row>
    <row r="76" spans="1:16" ht="40" customHeight="1" x14ac:dyDescent="0.3">
      <c r="A76" s="552" t="str">
        <f>Overview!B4&amp;" - Effective from "&amp;Overview!D4&amp;" - Final new or amended EHV charges in UKPN SPN Area (GSP Group_J)"</f>
        <v>Indigo Power Limited - Effective from 1 April 2023 - Final new or amended EHV charges in UKPN SPN Area (GSP Group_J)</v>
      </c>
      <c r="B76" s="552"/>
      <c r="C76" s="552"/>
      <c r="D76" s="552"/>
      <c r="E76" s="552"/>
      <c r="F76" s="552"/>
      <c r="G76" s="552"/>
      <c r="H76" s="552"/>
      <c r="I76" s="552"/>
      <c r="J76" s="552"/>
      <c r="K76" s="552"/>
      <c r="L76" s="552"/>
      <c r="M76" s="552"/>
      <c r="N76" s="552"/>
      <c r="O76" s="223"/>
    </row>
    <row r="77" spans="1:16" ht="65.150000000000006" customHeight="1" x14ac:dyDescent="0.3">
      <c r="A77" s="18" t="s">
        <v>495</v>
      </c>
      <c r="B77" s="18" t="s">
        <v>471</v>
      </c>
      <c r="C77" s="18" t="s">
        <v>286</v>
      </c>
      <c r="D77" s="18" t="s">
        <v>472</v>
      </c>
      <c r="E77" s="18" t="s">
        <v>287</v>
      </c>
      <c r="F77" s="224" t="s">
        <v>29</v>
      </c>
      <c r="G77" s="128" t="s">
        <v>403</v>
      </c>
      <c r="H77" s="127" t="s">
        <v>297</v>
      </c>
      <c r="I77" s="127" t="s">
        <v>401</v>
      </c>
      <c r="J77" s="127" t="s">
        <v>457</v>
      </c>
      <c r="K77" s="127" t="s">
        <v>404</v>
      </c>
      <c r="L77" s="127" t="s">
        <v>298</v>
      </c>
      <c r="M77" s="127" t="s">
        <v>402</v>
      </c>
      <c r="N77" s="127" t="s">
        <v>458</v>
      </c>
      <c r="O77" s="223"/>
      <c r="P77" s="223"/>
    </row>
    <row r="78" spans="1:16" ht="22.5" customHeight="1" x14ac:dyDescent="0.3">
      <c r="A78" s="225"/>
      <c r="B78" s="225"/>
      <c r="C78" s="225"/>
      <c r="D78" s="225"/>
      <c r="E78" s="226"/>
      <c r="F78" s="227"/>
      <c r="G78" s="228"/>
      <c r="H78" s="229"/>
      <c r="I78" s="229"/>
      <c r="J78" s="229"/>
      <c r="K78" s="230"/>
      <c r="L78" s="231"/>
      <c r="M78" s="231"/>
      <c r="N78" s="231"/>
      <c r="O78" s="223"/>
      <c r="P78" s="223"/>
    </row>
    <row r="79" spans="1:16" ht="27.75" customHeight="1" x14ac:dyDescent="0.3">
      <c r="A79" s="223"/>
      <c r="B79" s="223"/>
      <c r="C79" s="223"/>
      <c r="D79" s="232"/>
      <c r="E79" s="232"/>
      <c r="F79" s="232"/>
      <c r="G79" s="232"/>
      <c r="H79" s="233"/>
      <c r="I79" s="234"/>
      <c r="J79" s="234"/>
      <c r="K79" s="223"/>
      <c r="L79" s="223"/>
      <c r="M79" s="223"/>
      <c r="N79" s="223"/>
      <c r="O79" s="223"/>
    </row>
    <row r="80" spans="1:16" ht="40" customHeight="1" x14ac:dyDescent="0.3">
      <c r="A80" s="552" t="str">
        <f>Overview!B4&amp;" - Effective from "&amp;Overview!D4&amp;" - Final new or amended EHV line loss factors in UKPN SPN Area (GSP Group_J)"</f>
        <v>Indigo Power Limited - Effective from 1 April 2023 - Final new or amended EHV line loss factors in UKPN SPN Area (GSP Group_J)</v>
      </c>
      <c r="B80" s="552"/>
      <c r="C80" s="552"/>
      <c r="D80" s="552"/>
      <c r="E80" s="552"/>
      <c r="F80" s="552"/>
      <c r="G80" s="552"/>
      <c r="H80" s="552"/>
      <c r="I80" s="552"/>
      <c r="J80" s="552"/>
      <c r="K80" s="552"/>
      <c r="L80" s="552"/>
      <c r="M80" s="552"/>
      <c r="N80" s="552"/>
      <c r="O80" s="552"/>
      <c r="P80" s="552"/>
    </row>
    <row r="81" spans="1:16" ht="65.150000000000006" customHeight="1" x14ac:dyDescent="0.3">
      <c r="A81" s="18" t="s">
        <v>495</v>
      </c>
      <c r="B81" s="18" t="s">
        <v>471</v>
      </c>
      <c r="C81" s="18" t="s">
        <v>286</v>
      </c>
      <c r="D81" s="18" t="s">
        <v>472</v>
      </c>
      <c r="E81" s="18" t="s">
        <v>287</v>
      </c>
      <c r="F81" s="224" t="s">
        <v>29</v>
      </c>
      <c r="G81" s="235" t="s">
        <v>481</v>
      </c>
      <c r="H81" s="235" t="s">
        <v>482</v>
      </c>
      <c r="I81" s="235" t="s">
        <v>483</v>
      </c>
      <c r="J81" s="235" t="s">
        <v>484</v>
      </c>
      <c r="K81" s="235" t="s">
        <v>485</v>
      </c>
      <c r="L81" s="236" t="s">
        <v>486</v>
      </c>
      <c r="M81" s="236" t="s">
        <v>487</v>
      </c>
      <c r="N81" s="236" t="s">
        <v>488</v>
      </c>
      <c r="O81" s="236" t="s">
        <v>489</v>
      </c>
      <c r="P81" s="236" t="s">
        <v>490</v>
      </c>
    </row>
    <row r="82" spans="1:16" ht="22.5" customHeight="1" x14ac:dyDescent="0.3">
      <c r="A82" s="225"/>
      <c r="B82" s="225"/>
      <c r="C82" s="225"/>
      <c r="D82" s="225"/>
      <c r="E82" s="226"/>
      <c r="F82" s="237"/>
      <c r="G82" s="238"/>
      <c r="H82" s="238"/>
      <c r="I82" s="239"/>
      <c r="J82" s="240"/>
      <c r="K82" s="240"/>
      <c r="L82" s="241"/>
      <c r="M82" s="241"/>
      <c r="N82" s="241"/>
      <c r="O82" s="241"/>
      <c r="P82" s="241"/>
    </row>
    <row r="83" spans="1:16" ht="27.75" customHeight="1" thickBot="1" x14ac:dyDescent="0.35">
      <c r="A83" s="242"/>
      <c r="B83" s="242"/>
      <c r="C83" s="242"/>
      <c r="D83" s="243"/>
      <c r="E83" s="243"/>
      <c r="F83" s="243"/>
      <c r="G83" s="243"/>
      <c r="H83" s="244"/>
      <c r="I83" s="245"/>
      <c r="J83" s="245"/>
      <c r="K83" s="242"/>
      <c r="L83" s="242"/>
      <c r="M83" s="242"/>
      <c r="N83" s="242"/>
      <c r="O83" s="242"/>
      <c r="P83" s="246"/>
    </row>
    <row r="84" spans="1:16" ht="27.75" customHeight="1" x14ac:dyDescent="0.3">
      <c r="A84" s="247"/>
      <c r="B84" s="247"/>
      <c r="C84" s="247"/>
      <c r="D84" s="248"/>
      <c r="E84" s="248"/>
      <c r="F84" s="248"/>
      <c r="G84" s="248"/>
      <c r="H84" s="249"/>
      <c r="I84" s="250"/>
      <c r="J84" s="250"/>
      <c r="K84" s="247"/>
      <c r="L84" s="247"/>
      <c r="M84" s="247"/>
      <c r="N84" s="223"/>
      <c r="O84" s="223"/>
    </row>
    <row r="85" spans="1:16" ht="40" customHeight="1" x14ac:dyDescent="0.3">
      <c r="A85" s="552" t="str">
        <f>Overview!B4&amp;" - Effective from "&amp;Overview!D4&amp;" - Final new or amended EHV charges in WPD South Wales Area (GSP Group_K)"</f>
        <v>Indigo Power Limited - Effective from 1 April 2023 - Final new or amended EHV charges in WPD South Wales Area (GSP Group_K)</v>
      </c>
      <c r="B85" s="552"/>
      <c r="C85" s="552"/>
      <c r="D85" s="552"/>
      <c r="E85" s="552"/>
      <c r="F85" s="552"/>
      <c r="G85" s="552"/>
      <c r="H85" s="552"/>
      <c r="I85" s="552"/>
      <c r="J85" s="552"/>
      <c r="K85" s="552"/>
      <c r="L85" s="552"/>
      <c r="M85" s="552"/>
      <c r="N85" s="552"/>
      <c r="O85" s="223"/>
    </row>
    <row r="86" spans="1:16" ht="65.150000000000006" customHeight="1" x14ac:dyDescent="0.3">
      <c r="A86" s="18" t="s">
        <v>495</v>
      </c>
      <c r="B86" s="18" t="s">
        <v>471</v>
      </c>
      <c r="C86" s="18" t="s">
        <v>286</v>
      </c>
      <c r="D86" s="18" t="s">
        <v>472</v>
      </c>
      <c r="E86" s="18" t="s">
        <v>287</v>
      </c>
      <c r="F86" s="224" t="s">
        <v>29</v>
      </c>
      <c r="G86" s="128" t="s">
        <v>403</v>
      </c>
      <c r="H86" s="127" t="s">
        <v>297</v>
      </c>
      <c r="I86" s="127" t="s">
        <v>401</v>
      </c>
      <c r="J86" s="127" t="s">
        <v>457</v>
      </c>
      <c r="K86" s="127" t="s">
        <v>404</v>
      </c>
      <c r="L86" s="127" t="s">
        <v>298</v>
      </c>
      <c r="M86" s="127" t="s">
        <v>402</v>
      </c>
      <c r="N86" s="127" t="s">
        <v>458</v>
      </c>
      <c r="O86" s="223"/>
      <c r="P86" s="223"/>
    </row>
    <row r="87" spans="1:16" ht="22.5" customHeight="1" x14ac:dyDescent="0.3">
      <c r="A87" s="225"/>
      <c r="B87" s="225"/>
      <c r="C87" s="225"/>
      <c r="D87" s="225"/>
      <c r="E87" s="226"/>
      <c r="F87" s="227"/>
      <c r="G87" s="228"/>
      <c r="H87" s="229"/>
      <c r="I87" s="229"/>
      <c r="J87" s="229"/>
      <c r="K87" s="230"/>
      <c r="L87" s="231"/>
      <c r="M87" s="231"/>
      <c r="N87" s="231"/>
      <c r="O87" s="223"/>
      <c r="P87" s="223"/>
    </row>
    <row r="88" spans="1:16" ht="27.75" customHeight="1" x14ac:dyDescent="0.3">
      <c r="A88" s="223"/>
      <c r="B88" s="223"/>
      <c r="C88" s="223"/>
      <c r="D88" s="232"/>
      <c r="E88" s="232"/>
      <c r="F88" s="232"/>
      <c r="G88" s="232"/>
      <c r="H88" s="233"/>
      <c r="I88" s="234"/>
      <c r="J88" s="234"/>
      <c r="K88" s="223"/>
      <c r="L88" s="223"/>
      <c r="M88" s="223"/>
      <c r="N88" s="223"/>
      <c r="O88" s="223"/>
    </row>
    <row r="89" spans="1:16" ht="40" customHeight="1" x14ac:dyDescent="0.3">
      <c r="A89" s="552" t="str">
        <f>Overview!B4&amp;" - Effective from "&amp;Overview!D4&amp;" - Final new or amended EHV line loss factors in WPD South Wales Area (GSP Group_K)"</f>
        <v>Indigo Power Limited - Effective from 1 April 2023 - Final new or amended EHV line loss factors in WPD South Wales Area (GSP Group_K)</v>
      </c>
      <c r="B89" s="552"/>
      <c r="C89" s="552"/>
      <c r="D89" s="552"/>
      <c r="E89" s="552"/>
      <c r="F89" s="552"/>
      <c r="G89" s="552"/>
      <c r="H89" s="552"/>
      <c r="I89" s="552"/>
      <c r="J89" s="552"/>
      <c r="K89" s="552"/>
      <c r="L89" s="552"/>
      <c r="M89" s="552"/>
      <c r="N89" s="552"/>
      <c r="O89" s="65"/>
    </row>
    <row r="90" spans="1:16" ht="65.150000000000006" customHeight="1" x14ac:dyDescent="0.3">
      <c r="A90" s="18" t="s">
        <v>495</v>
      </c>
      <c r="B90" s="18" t="s">
        <v>471</v>
      </c>
      <c r="C90" s="18" t="s">
        <v>286</v>
      </c>
      <c r="D90" s="18" t="s">
        <v>472</v>
      </c>
      <c r="E90" s="18" t="s">
        <v>287</v>
      </c>
      <c r="F90" s="224" t="s">
        <v>29</v>
      </c>
      <c r="G90" s="235" t="s">
        <v>481</v>
      </c>
      <c r="H90" s="235" t="s">
        <v>482</v>
      </c>
      <c r="I90" s="235" t="s">
        <v>483</v>
      </c>
      <c r="J90" s="235" t="s">
        <v>484</v>
      </c>
      <c r="K90" s="236" t="s">
        <v>486</v>
      </c>
      <c r="L90" s="236" t="s">
        <v>487</v>
      </c>
      <c r="M90" s="236" t="s">
        <v>488</v>
      </c>
      <c r="N90" s="236" t="s">
        <v>489</v>
      </c>
      <c r="O90" s="65"/>
      <c r="P90" s="65"/>
    </row>
    <row r="91" spans="1:16" ht="22.5" customHeight="1" x14ac:dyDescent="0.3">
      <c r="A91" s="225"/>
      <c r="B91" s="225"/>
      <c r="C91" s="225"/>
      <c r="D91" s="225"/>
      <c r="E91" s="226"/>
      <c r="F91" s="237"/>
      <c r="G91" s="238"/>
      <c r="H91" s="238"/>
      <c r="I91" s="239"/>
      <c r="J91" s="240"/>
      <c r="K91" s="241"/>
      <c r="L91" s="241"/>
      <c r="M91" s="241"/>
      <c r="N91" s="241"/>
      <c r="O91" s="65"/>
      <c r="P91" s="65"/>
    </row>
    <row r="92" spans="1:16" ht="27.75" customHeight="1" thickBot="1" x14ac:dyDescent="0.35">
      <c r="A92" s="242"/>
      <c r="B92" s="242"/>
      <c r="C92" s="242"/>
      <c r="D92" s="243"/>
      <c r="E92" s="243"/>
      <c r="F92" s="243"/>
      <c r="G92" s="243"/>
      <c r="H92" s="244"/>
      <c r="I92" s="245"/>
      <c r="J92" s="245"/>
      <c r="K92" s="242"/>
      <c r="L92" s="242"/>
      <c r="M92" s="242"/>
      <c r="N92" s="246"/>
      <c r="O92" s="246"/>
      <c r="P92" s="246"/>
    </row>
    <row r="93" spans="1:16" ht="27.75" customHeight="1" x14ac:dyDescent="0.3">
      <c r="A93" s="247"/>
      <c r="B93" s="247"/>
      <c r="C93" s="247"/>
      <c r="D93" s="248"/>
      <c r="E93" s="248"/>
      <c r="F93" s="248"/>
      <c r="G93" s="248"/>
      <c r="H93" s="249"/>
      <c r="I93" s="250"/>
      <c r="J93" s="250"/>
      <c r="K93" s="247"/>
      <c r="L93" s="247"/>
      <c r="M93" s="247"/>
      <c r="N93" s="223"/>
      <c r="O93" s="223"/>
    </row>
    <row r="94" spans="1:16" ht="40" customHeight="1" x14ac:dyDescent="0.3">
      <c r="A94" s="552" t="str">
        <f>Overview!B4&amp;" - Effective from "&amp;Overview!D4&amp;" - Final new or amended EHV charges in WPD South West Area (GSP Group_L)"</f>
        <v>Indigo Power Limited - Effective from 1 April 2023 - Final new or amended EHV charges in WPD South West Area (GSP Group_L)</v>
      </c>
      <c r="B94" s="552"/>
      <c r="C94" s="552"/>
      <c r="D94" s="552"/>
      <c r="E94" s="552"/>
      <c r="F94" s="552"/>
      <c r="G94" s="552"/>
      <c r="H94" s="552"/>
      <c r="I94" s="552"/>
      <c r="J94" s="552"/>
      <c r="K94" s="552"/>
      <c r="L94" s="552"/>
      <c r="M94" s="552"/>
      <c r="N94" s="552"/>
      <c r="O94" s="223"/>
    </row>
    <row r="95" spans="1:16" ht="65.150000000000006" customHeight="1" x14ac:dyDescent="0.3">
      <c r="A95" s="18" t="s">
        <v>495</v>
      </c>
      <c r="B95" s="18" t="s">
        <v>471</v>
      </c>
      <c r="C95" s="18" t="s">
        <v>286</v>
      </c>
      <c r="D95" s="18" t="s">
        <v>472</v>
      </c>
      <c r="E95" s="18" t="s">
        <v>287</v>
      </c>
      <c r="F95" s="224" t="s">
        <v>29</v>
      </c>
      <c r="G95" s="128" t="s">
        <v>403</v>
      </c>
      <c r="H95" s="127" t="s">
        <v>297</v>
      </c>
      <c r="I95" s="127" t="s">
        <v>401</v>
      </c>
      <c r="J95" s="127" t="s">
        <v>457</v>
      </c>
      <c r="K95" s="127" t="s">
        <v>404</v>
      </c>
      <c r="L95" s="127" t="s">
        <v>298</v>
      </c>
      <c r="M95" s="127" t="s">
        <v>402</v>
      </c>
      <c r="N95" s="127" t="s">
        <v>458</v>
      </c>
      <c r="O95" s="223"/>
      <c r="P95" s="223"/>
    </row>
    <row r="96" spans="1:16" ht="22.5" customHeight="1" x14ac:dyDescent="0.3">
      <c r="A96" s="225"/>
      <c r="B96" s="225"/>
      <c r="C96" s="225"/>
      <c r="D96" s="225"/>
      <c r="E96" s="226"/>
      <c r="F96" s="227"/>
      <c r="G96" s="228"/>
      <c r="H96" s="229"/>
      <c r="I96" s="229"/>
      <c r="J96" s="229"/>
      <c r="K96" s="230"/>
      <c r="L96" s="231"/>
      <c r="M96" s="231"/>
      <c r="N96" s="231"/>
      <c r="O96" s="223"/>
      <c r="P96" s="223"/>
    </row>
    <row r="97" spans="1:16" ht="27.75" customHeight="1" x14ac:dyDescent="0.3">
      <c r="A97" s="223"/>
      <c r="B97" s="223"/>
      <c r="C97" s="223"/>
      <c r="D97" s="232"/>
      <c r="E97" s="232"/>
      <c r="F97" s="232"/>
      <c r="G97" s="232"/>
      <c r="H97" s="233"/>
      <c r="I97" s="234"/>
      <c r="J97" s="234"/>
      <c r="K97" s="223"/>
      <c r="L97" s="223"/>
      <c r="M97" s="223"/>
      <c r="N97" s="223"/>
      <c r="O97" s="223"/>
    </row>
    <row r="98" spans="1:16" ht="40" customHeight="1" x14ac:dyDescent="0.3">
      <c r="A98" s="552" t="str">
        <f>Overview!B4&amp;" - Effective from "&amp;Overview!D4&amp;" - Final new or amended EHV line loss factors in WPD South West Area (GSP Group_L)"</f>
        <v>Indigo Power Limited - Effective from 1 April 2023 - Final new or amended EHV line loss factors in WPD South West Area (GSP Group_L)</v>
      </c>
      <c r="B98" s="552"/>
      <c r="C98" s="552"/>
      <c r="D98" s="552"/>
      <c r="E98" s="552"/>
      <c r="F98" s="552"/>
      <c r="G98" s="552"/>
      <c r="H98" s="552"/>
      <c r="I98" s="552"/>
      <c r="J98" s="552"/>
      <c r="K98" s="552"/>
      <c r="L98" s="552"/>
      <c r="M98" s="552"/>
      <c r="N98" s="552"/>
      <c r="O98" s="65"/>
    </row>
    <row r="99" spans="1:16" ht="65.150000000000006" customHeight="1" x14ac:dyDescent="0.3">
      <c r="A99" s="18" t="s">
        <v>495</v>
      </c>
      <c r="B99" s="18" t="s">
        <v>471</v>
      </c>
      <c r="C99" s="18" t="s">
        <v>286</v>
      </c>
      <c r="D99" s="18" t="s">
        <v>472</v>
      </c>
      <c r="E99" s="18" t="s">
        <v>287</v>
      </c>
      <c r="F99" s="224" t="s">
        <v>29</v>
      </c>
      <c r="G99" s="235" t="s">
        <v>481</v>
      </c>
      <c r="H99" s="235" t="s">
        <v>482</v>
      </c>
      <c r="I99" s="235" t="s">
        <v>483</v>
      </c>
      <c r="J99" s="235" t="s">
        <v>484</v>
      </c>
      <c r="K99" s="236" t="s">
        <v>486</v>
      </c>
      <c r="L99" s="236" t="s">
        <v>487</v>
      </c>
      <c r="M99" s="236" t="s">
        <v>488</v>
      </c>
      <c r="N99" s="236" t="s">
        <v>489</v>
      </c>
      <c r="O99" s="65"/>
      <c r="P99" s="65"/>
    </row>
    <row r="100" spans="1:16" ht="22.5" customHeight="1" x14ac:dyDescent="0.3">
      <c r="A100" s="225"/>
      <c r="B100" s="225"/>
      <c r="C100" s="225"/>
      <c r="D100" s="225"/>
      <c r="E100" s="226"/>
      <c r="F100" s="237"/>
      <c r="G100" s="238"/>
      <c r="H100" s="238"/>
      <c r="I100" s="239"/>
      <c r="J100" s="240"/>
      <c r="K100" s="241"/>
      <c r="L100" s="241"/>
      <c r="M100" s="241"/>
      <c r="N100" s="241"/>
      <c r="O100" s="65"/>
      <c r="P100" s="65"/>
    </row>
    <row r="101" spans="1:16" ht="27.75" customHeight="1" thickBot="1" x14ac:dyDescent="0.35">
      <c r="A101" s="242"/>
      <c r="B101" s="242"/>
      <c r="C101" s="242"/>
      <c r="D101" s="243"/>
      <c r="E101" s="243"/>
      <c r="F101" s="243"/>
      <c r="G101" s="243"/>
      <c r="H101" s="244"/>
      <c r="I101" s="245"/>
      <c r="J101" s="245"/>
      <c r="K101" s="242"/>
      <c r="L101" s="242"/>
      <c r="M101" s="242"/>
      <c r="N101" s="246"/>
      <c r="O101" s="246"/>
      <c r="P101" s="246"/>
    </row>
    <row r="102" spans="1:16" ht="27.75" customHeight="1" x14ac:dyDescent="0.3">
      <c r="A102" s="223"/>
      <c r="B102" s="223"/>
      <c r="C102" s="223"/>
      <c r="D102" s="232"/>
      <c r="E102" s="232"/>
      <c r="F102" s="232"/>
      <c r="G102" s="232"/>
      <c r="H102" s="233"/>
      <c r="I102" s="234"/>
      <c r="J102" s="234"/>
      <c r="K102" s="223"/>
      <c r="L102" s="223"/>
      <c r="M102" s="223"/>
      <c r="N102" s="223"/>
      <c r="O102" s="223"/>
    </row>
    <row r="103" spans="1:16" ht="40" customHeight="1" x14ac:dyDescent="0.3">
      <c r="A103" s="552" t="str">
        <f>Overview!B4&amp;" - Effective from "&amp;Overview!D4&amp;" - Final new or amended EHV charges in NPG Yorkshire Area (GSP Group_M)"</f>
        <v>Indigo Power Limited - Effective from 1 April 2023 - Final new or amended EHV charges in NPG Yorkshire Area (GSP Group_M)</v>
      </c>
      <c r="B103" s="552"/>
      <c r="C103" s="552"/>
      <c r="D103" s="552"/>
      <c r="E103" s="552"/>
      <c r="F103" s="552"/>
      <c r="G103" s="552"/>
      <c r="H103" s="552"/>
      <c r="I103" s="552"/>
      <c r="J103" s="552"/>
      <c r="K103" s="552"/>
      <c r="L103" s="552"/>
      <c r="M103" s="552"/>
      <c r="N103" s="552"/>
      <c r="O103" s="223"/>
    </row>
    <row r="104" spans="1:16" ht="65.150000000000006" customHeight="1" x14ac:dyDescent="0.3">
      <c r="A104" s="18" t="s">
        <v>495</v>
      </c>
      <c r="B104" s="18" t="s">
        <v>471</v>
      </c>
      <c r="C104" s="18" t="s">
        <v>286</v>
      </c>
      <c r="D104" s="18" t="s">
        <v>472</v>
      </c>
      <c r="E104" s="18" t="s">
        <v>287</v>
      </c>
      <c r="F104" s="224" t="s">
        <v>29</v>
      </c>
      <c r="G104" s="128" t="s">
        <v>403</v>
      </c>
      <c r="H104" s="127" t="s">
        <v>297</v>
      </c>
      <c r="I104" s="127" t="s">
        <v>401</v>
      </c>
      <c r="J104" s="127" t="s">
        <v>457</v>
      </c>
      <c r="K104" s="127" t="s">
        <v>404</v>
      </c>
      <c r="L104" s="127" t="s">
        <v>298</v>
      </c>
      <c r="M104" s="127" t="s">
        <v>402</v>
      </c>
      <c r="N104" s="127" t="s">
        <v>458</v>
      </c>
      <c r="O104" s="223"/>
      <c r="P104" s="223"/>
    </row>
    <row r="105" spans="1:16" ht="22.5" customHeight="1" x14ac:dyDescent="0.3">
      <c r="A105" s="225"/>
      <c r="B105" s="225"/>
      <c r="C105" s="225"/>
      <c r="D105" s="225"/>
      <c r="E105" s="226"/>
      <c r="F105" s="227"/>
      <c r="G105" s="228"/>
      <c r="H105" s="229"/>
      <c r="I105" s="229"/>
      <c r="J105" s="229"/>
      <c r="K105" s="230"/>
      <c r="L105" s="231"/>
      <c r="M105" s="231"/>
      <c r="N105" s="231"/>
      <c r="O105" s="223"/>
      <c r="P105" s="223"/>
    </row>
    <row r="106" spans="1:16" ht="27.75" customHeight="1" x14ac:dyDescent="0.3">
      <c r="A106" s="223"/>
      <c r="B106" s="223"/>
      <c r="C106" s="223"/>
      <c r="D106" s="232"/>
      <c r="E106" s="232"/>
      <c r="F106" s="232"/>
      <c r="G106" s="232"/>
      <c r="H106" s="233"/>
      <c r="I106" s="234"/>
      <c r="J106" s="234"/>
      <c r="K106" s="223"/>
      <c r="L106" s="223"/>
      <c r="M106" s="223"/>
      <c r="N106" s="223"/>
      <c r="O106" s="223"/>
    </row>
    <row r="107" spans="1:16" ht="40" customHeight="1" x14ac:dyDescent="0.3">
      <c r="A107" s="552" t="str">
        <f>Overview!B4&amp;" - Effective from "&amp;Overview!D4&amp;" - Final new or amended EHV line loss factors in NPG Yorkshire Area (GSP Group_M)"</f>
        <v>Indigo Power Limited - Effective from 1 April 2023 - Final new or amended EHV line loss factors in NPG Yorkshire Area (GSP Group_M)</v>
      </c>
      <c r="B107" s="552"/>
      <c r="C107" s="552"/>
      <c r="D107" s="552"/>
      <c r="E107" s="552"/>
      <c r="F107" s="552"/>
      <c r="G107" s="552"/>
      <c r="H107" s="552"/>
      <c r="I107" s="552"/>
      <c r="J107" s="552"/>
      <c r="K107" s="552"/>
      <c r="L107" s="552"/>
      <c r="M107" s="552"/>
      <c r="N107" s="552"/>
      <c r="O107" s="65"/>
    </row>
    <row r="108" spans="1:16" ht="65.150000000000006" customHeight="1" x14ac:dyDescent="0.3">
      <c r="A108" s="18" t="s">
        <v>495</v>
      </c>
      <c r="B108" s="18" t="s">
        <v>471</v>
      </c>
      <c r="C108" s="18" t="s">
        <v>286</v>
      </c>
      <c r="D108" s="18" t="s">
        <v>472</v>
      </c>
      <c r="E108" s="18" t="s">
        <v>287</v>
      </c>
      <c r="F108" s="224" t="s">
        <v>29</v>
      </c>
      <c r="G108" s="235" t="s">
        <v>481</v>
      </c>
      <c r="H108" s="235" t="s">
        <v>482</v>
      </c>
      <c r="I108" s="235" t="s">
        <v>483</v>
      </c>
      <c r="J108" s="235" t="s">
        <v>484</v>
      </c>
      <c r="K108" s="236" t="s">
        <v>486</v>
      </c>
      <c r="L108" s="236" t="s">
        <v>487</v>
      </c>
      <c r="M108" s="236" t="s">
        <v>488</v>
      </c>
      <c r="N108" s="236" t="s">
        <v>489</v>
      </c>
      <c r="O108" s="65"/>
      <c r="P108" s="65"/>
    </row>
    <row r="109" spans="1:16" ht="22.5" customHeight="1" x14ac:dyDescent="0.3">
      <c r="A109" s="225"/>
      <c r="B109" s="225"/>
      <c r="C109" s="225"/>
      <c r="D109" s="225"/>
      <c r="E109" s="226"/>
      <c r="F109" s="237"/>
      <c r="G109" s="238"/>
      <c r="H109" s="238"/>
      <c r="I109" s="239"/>
      <c r="J109" s="240"/>
      <c r="K109" s="241"/>
      <c r="L109" s="241"/>
      <c r="M109" s="241"/>
      <c r="N109" s="241"/>
      <c r="O109" s="65"/>
      <c r="P109" s="65"/>
    </row>
    <row r="110" spans="1:16" ht="27.75" customHeight="1" thickBot="1" x14ac:dyDescent="0.35">
      <c r="A110" s="242"/>
      <c r="B110" s="242"/>
      <c r="C110" s="242"/>
      <c r="D110" s="243"/>
      <c r="E110" s="243"/>
      <c r="F110" s="243"/>
      <c r="G110" s="243"/>
      <c r="H110" s="244"/>
      <c r="I110" s="245"/>
      <c r="J110" s="245"/>
      <c r="K110" s="242"/>
      <c r="L110" s="242"/>
      <c r="M110" s="242"/>
      <c r="N110" s="246"/>
      <c r="O110" s="246"/>
      <c r="P110" s="246"/>
    </row>
    <row r="111" spans="1:16" ht="27.75" customHeight="1" x14ac:dyDescent="0.3">
      <c r="A111" s="223"/>
      <c r="B111" s="223"/>
      <c r="C111" s="223"/>
      <c r="D111" s="232"/>
      <c r="E111" s="232"/>
      <c r="F111" s="232"/>
      <c r="G111" s="232"/>
      <c r="H111" s="233"/>
      <c r="I111" s="234"/>
      <c r="J111" s="234"/>
      <c r="K111" s="223"/>
      <c r="L111" s="223"/>
      <c r="M111" s="223"/>
      <c r="N111" s="223"/>
      <c r="O111" s="223"/>
    </row>
    <row r="112" spans="1:16" ht="40" customHeight="1" x14ac:dyDescent="0.3">
      <c r="A112" s="552" t="str">
        <f>Overview!B83&amp;" - Effective from "&amp;Overview!D83&amp;" - Final new or amended EHV charges in SP Distribution Area (GSP Group_N)"</f>
        <v xml:space="preserve"> - Effective from  - Final new or amended EHV charges in SP Distribution Area (GSP Group_N)</v>
      </c>
      <c r="B112" s="552"/>
      <c r="C112" s="552"/>
      <c r="D112" s="552"/>
      <c r="E112" s="552"/>
      <c r="F112" s="552"/>
      <c r="G112" s="552"/>
      <c r="H112" s="552"/>
      <c r="I112" s="552"/>
      <c r="J112" s="552"/>
      <c r="K112" s="552"/>
      <c r="L112" s="552"/>
      <c r="M112" s="552"/>
      <c r="N112" s="552"/>
      <c r="O112" s="223"/>
    </row>
    <row r="113" spans="1:16" ht="65.150000000000006" customHeight="1" x14ac:dyDescent="0.3">
      <c r="A113" s="18" t="s">
        <v>495</v>
      </c>
      <c r="B113" s="18" t="s">
        <v>471</v>
      </c>
      <c r="C113" s="18" t="s">
        <v>286</v>
      </c>
      <c r="D113" s="18" t="s">
        <v>472</v>
      </c>
      <c r="E113" s="18" t="s">
        <v>287</v>
      </c>
      <c r="F113" s="224" t="s">
        <v>29</v>
      </c>
      <c r="G113" s="128" t="s">
        <v>403</v>
      </c>
      <c r="H113" s="127" t="s">
        <v>297</v>
      </c>
      <c r="I113" s="127" t="s">
        <v>401</v>
      </c>
      <c r="J113" s="127" t="s">
        <v>457</v>
      </c>
      <c r="K113" s="127" t="s">
        <v>404</v>
      </c>
      <c r="L113" s="127" t="s">
        <v>298</v>
      </c>
      <c r="M113" s="127" t="s">
        <v>402</v>
      </c>
      <c r="N113" s="127" t="s">
        <v>458</v>
      </c>
      <c r="O113" s="223"/>
      <c r="P113" s="223"/>
    </row>
    <row r="114" spans="1:16" ht="22.5" customHeight="1" x14ac:dyDescent="0.3">
      <c r="A114" s="225"/>
      <c r="B114" s="225"/>
      <c r="C114" s="225"/>
      <c r="D114" s="225"/>
      <c r="E114" s="226"/>
      <c r="F114" s="227"/>
      <c r="G114" s="228"/>
      <c r="H114" s="229"/>
      <c r="I114" s="229"/>
      <c r="J114" s="229"/>
      <c r="K114" s="230"/>
      <c r="L114" s="231"/>
      <c r="M114" s="231"/>
      <c r="N114" s="231"/>
      <c r="O114" s="223"/>
      <c r="P114" s="223"/>
    </row>
    <row r="115" spans="1:16" ht="27.75" customHeight="1" x14ac:dyDescent="0.3">
      <c r="A115" s="223"/>
      <c r="B115" s="223"/>
      <c r="C115" s="223"/>
      <c r="D115" s="232"/>
      <c r="E115" s="232"/>
      <c r="F115" s="232"/>
      <c r="G115" s="232"/>
      <c r="H115" s="233"/>
      <c r="I115" s="234"/>
      <c r="J115" s="234"/>
      <c r="K115" s="223"/>
      <c r="L115" s="223"/>
      <c r="M115" s="223"/>
      <c r="N115" s="223"/>
      <c r="O115" s="223"/>
    </row>
    <row r="116" spans="1:16" ht="40" customHeight="1" x14ac:dyDescent="0.3">
      <c r="A116" s="552" t="str">
        <f>Overview!B83&amp;" - Effective from "&amp;Overview!D83&amp;" - Final new or amended EHV line loss factors in SP Distribution Area (GSP Group_N)"</f>
        <v xml:space="preserve"> - Effective from  - Final new or amended EHV line loss factors in SP Distribution Area (GSP Group_N)</v>
      </c>
      <c r="B116" s="552"/>
      <c r="C116" s="552"/>
      <c r="D116" s="552"/>
      <c r="E116" s="552"/>
      <c r="F116" s="552"/>
      <c r="G116" s="552"/>
      <c r="H116" s="552"/>
      <c r="I116" s="552"/>
      <c r="J116" s="552"/>
      <c r="K116" s="552"/>
      <c r="L116" s="552"/>
      <c r="M116" s="552"/>
      <c r="N116" s="552"/>
      <c r="O116" s="65"/>
    </row>
    <row r="117" spans="1:16" ht="65.150000000000006" customHeight="1" x14ac:dyDescent="0.3">
      <c r="A117" s="18" t="s">
        <v>495</v>
      </c>
      <c r="B117" s="18" t="s">
        <v>471</v>
      </c>
      <c r="C117" s="18" t="s">
        <v>286</v>
      </c>
      <c r="D117" s="18" t="s">
        <v>472</v>
      </c>
      <c r="E117" s="18" t="s">
        <v>287</v>
      </c>
      <c r="F117" s="224" t="s">
        <v>29</v>
      </c>
      <c r="G117" s="235" t="s">
        <v>481</v>
      </c>
      <c r="H117" s="235" t="s">
        <v>482</v>
      </c>
      <c r="I117" s="235" t="s">
        <v>483</v>
      </c>
      <c r="J117" s="235" t="s">
        <v>484</v>
      </c>
      <c r="K117" s="236" t="s">
        <v>486</v>
      </c>
      <c r="L117" s="236" t="s">
        <v>487</v>
      </c>
      <c r="M117" s="236" t="s">
        <v>488</v>
      </c>
      <c r="N117" s="236" t="s">
        <v>489</v>
      </c>
      <c r="O117" s="65"/>
      <c r="P117" s="65"/>
    </row>
    <row r="118" spans="1:16" ht="22.5" customHeight="1" x14ac:dyDescent="0.3">
      <c r="A118" s="225"/>
      <c r="B118" s="225"/>
      <c r="C118" s="225"/>
      <c r="D118" s="225"/>
      <c r="E118" s="226"/>
      <c r="F118" s="237"/>
      <c r="G118" s="238"/>
      <c r="H118" s="238"/>
      <c r="I118" s="239"/>
      <c r="J118" s="240"/>
      <c r="K118" s="241"/>
      <c r="L118" s="241"/>
      <c r="M118" s="241"/>
      <c r="N118" s="241"/>
      <c r="O118" s="65"/>
      <c r="P118" s="65"/>
    </row>
    <row r="119" spans="1:16" ht="27.75" customHeight="1" thickBot="1" x14ac:dyDescent="0.35">
      <c r="A119" s="242"/>
      <c r="B119" s="242"/>
      <c r="C119" s="242"/>
      <c r="D119" s="243"/>
      <c r="E119" s="243"/>
      <c r="F119" s="243"/>
      <c r="G119" s="243"/>
      <c r="H119" s="244"/>
      <c r="I119" s="245"/>
      <c r="J119" s="245"/>
      <c r="K119" s="242"/>
      <c r="L119" s="242"/>
      <c r="M119" s="242"/>
      <c r="N119" s="246"/>
      <c r="O119" s="246"/>
      <c r="P119" s="246"/>
    </row>
    <row r="120" spans="1:16" ht="27.75" customHeight="1" x14ac:dyDescent="0.3">
      <c r="A120" s="247"/>
      <c r="B120" s="247"/>
      <c r="C120" s="247"/>
      <c r="D120" s="248"/>
      <c r="E120" s="248"/>
      <c r="F120" s="248"/>
      <c r="G120" s="248"/>
      <c r="H120" s="249"/>
      <c r="I120" s="250"/>
      <c r="J120" s="250"/>
      <c r="K120" s="247"/>
      <c r="L120" s="247"/>
      <c r="M120" s="247"/>
      <c r="N120" s="223"/>
      <c r="O120" s="223"/>
      <c r="P120" s="223"/>
    </row>
    <row r="121" spans="1:16" ht="42" customHeight="1" x14ac:dyDescent="0.3">
      <c r="A121" s="552" t="str">
        <f>Overview!B59&amp;" - Effective from "&amp;Overview!D59&amp;" - Final new or amended EHV charges in SSE SHEPD Area (GSP Group_P)"</f>
        <v xml:space="preserve"> - Effective from  - Final new or amended EHV charges in SSE SHEPD Area (GSP Group_P)</v>
      </c>
      <c r="B121" s="552"/>
      <c r="C121" s="552"/>
      <c r="D121" s="552"/>
      <c r="E121" s="552"/>
      <c r="F121" s="552"/>
      <c r="G121" s="552"/>
      <c r="H121" s="552"/>
      <c r="I121" s="552"/>
      <c r="J121" s="552"/>
      <c r="K121" s="552"/>
      <c r="L121" s="552"/>
      <c r="M121" s="552"/>
      <c r="N121" s="552"/>
      <c r="O121" s="223"/>
    </row>
    <row r="122" spans="1:16" ht="68.25" customHeight="1" x14ac:dyDescent="0.3">
      <c r="A122" s="18" t="s">
        <v>495</v>
      </c>
      <c r="B122" s="18" t="s">
        <v>471</v>
      </c>
      <c r="C122" s="18" t="s">
        <v>286</v>
      </c>
      <c r="D122" s="18" t="s">
        <v>472</v>
      </c>
      <c r="E122" s="18" t="s">
        <v>287</v>
      </c>
      <c r="F122" s="224" t="s">
        <v>29</v>
      </c>
      <c r="G122" s="128" t="s">
        <v>403</v>
      </c>
      <c r="H122" s="127" t="s">
        <v>297</v>
      </c>
      <c r="I122" s="127" t="s">
        <v>401</v>
      </c>
      <c r="J122" s="127" t="s">
        <v>457</v>
      </c>
      <c r="K122" s="127" t="s">
        <v>404</v>
      </c>
      <c r="L122" s="127" t="s">
        <v>298</v>
      </c>
      <c r="M122" s="127" t="s">
        <v>402</v>
      </c>
      <c r="N122" s="127" t="s">
        <v>458</v>
      </c>
      <c r="O122" s="223"/>
      <c r="P122" s="223"/>
    </row>
    <row r="123" spans="1:16" ht="27.75" customHeight="1" x14ac:dyDescent="0.3">
      <c r="A123" s="225"/>
      <c r="B123" s="225"/>
      <c r="C123" s="225"/>
      <c r="D123" s="225"/>
      <c r="E123" s="226"/>
      <c r="F123" s="227"/>
      <c r="G123" s="228"/>
      <c r="H123" s="229"/>
      <c r="I123" s="229"/>
      <c r="J123" s="229"/>
      <c r="K123" s="230"/>
      <c r="L123" s="231"/>
      <c r="M123" s="231"/>
      <c r="N123" s="231"/>
      <c r="O123" s="223"/>
      <c r="P123" s="223"/>
    </row>
    <row r="124" spans="1:16" ht="27.75" customHeight="1" x14ac:dyDescent="0.3">
      <c r="A124" s="223"/>
      <c r="B124" s="223"/>
      <c r="C124" s="223"/>
      <c r="D124" s="232"/>
      <c r="E124" s="232"/>
      <c r="F124" s="232"/>
      <c r="G124" s="232"/>
      <c r="H124" s="233"/>
      <c r="I124" s="234"/>
      <c r="J124" s="234"/>
      <c r="K124" s="223"/>
      <c r="L124" s="223"/>
      <c r="M124" s="223"/>
      <c r="N124" s="223"/>
      <c r="O124" s="223"/>
    </row>
    <row r="125" spans="1:16" ht="48" customHeight="1" x14ac:dyDescent="0.3">
      <c r="A125" s="552" t="str">
        <f>Overview!B59&amp;" - Effective from "&amp;Overview!D59&amp;" - Final new or amended EHV line loss factors in SSE SHEPD Area (GSP Group_P)"</f>
        <v xml:space="preserve"> - Effective from  - Final new or amended EHV line loss factors in SSE SHEPD Area (GSP Group_P)</v>
      </c>
      <c r="B125" s="552"/>
      <c r="C125" s="552"/>
      <c r="D125" s="552"/>
      <c r="E125" s="552"/>
      <c r="F125" s="552"/>
      <c r="G125" s="552"/>
      <c r="H125" s="552"/>
      <c r="I125" s="552"/>
      <c r="J125" s="552"/>
      <c r="K125" s="552"/>
      <c r="L125" s="552"/>
      <c r="M125" s="552"/>
      <c r="N125" s="552"/>
      <c r="O125" s="552"/>
      <c r="P125" s="552"/>
    </row>
    <row r="126" spans="1:16" ht="45.75" customHeight="1" x14ac:dyDescent="0.3">
      <c r="A126" s="18" t="s">
        <v>495</v>
      </c>
      <c r="B126" s="18" t="s">
        <v>471</v>
      </c>
      <c r="C126" s="18" t="s">
        <v>286</v>
      </c>
      <c r="D126" s="18" t="s">
        <v>472</v>
      </c>
      <c r="E126" s="18" t="s">
        <v>287</v>
      </c>
      <c r="F126" s="224" t="s">
        <v>29</v>
      </c>
      <c r="G126" s="235" t="s">
        <v>481</v>
      </c>
      <c r="H126" s="235" t="s">
        <v>482</v>
      </c>
      <c r="I126" s="235" t="s">
        <v>483</v>
      </c>
      <c r="J126" s="235" t="s">
        <v>484</v>
      </c>
      <c r="K126" s="235" t="s">
        <v>485</v>
      </c>
      <c r="L126" s="236" t="s">
        <v>486</v>
      </c>
      <c r="M126" s="236" t="s">
        <v>487</v>
      </c>
      <c r="N126" s="236" t="s">
        <v>488</v>
      </c>
      <c r="O126" s="236" t="s">
        <v>489</v>
      </c>
      <c r="P126" s="236" t="s">
        <v>490</v>
      </c>
    </row>
    <row r="127" spans="1:16" ht="27.75" customHeight="1" x14ac:dyDescent="0.3">
      <c r="A127" s="225"/>
      <c r="B127" s="225"/>
      <c r="C127" s="225"/>
      <c r="D127" s="225"/>
      <c r="E127" s="226"/>
      <c r="F127" s="237"/>
      <c r="G127" s="238"/>
      <c r="H127" s="238"/>
      <c r="I127" s="239"/>
      <c r="J127" s="240"/>
      <c r="K127" s="240"/>
      <c r="L127" s="241"/>
      <c r="M127" s="241"/>
      <c r="N127" s="241"/>
      <c r="O127" s="241"/>
      <c r="P127" s="241"/>
    </row>
    <row r="128" spans="1:16" ht="27.75" customHeight="1" thickBot="1" x14ac:dyDescent="0.35">
      <c r="A128" s="242"/>
      <c r="B128" s="242"/>
      <c r="C128" s="242"/>
      <c r="D128" s="243"/>
      <c r="E128" s="243"/>
      <c r="F128" s="243"/>
      <c r="G128" s="243"/>
      <c r="H128" s="244"/>
      <c r="I128" s="245"/>
      <c r="J128" s="245"/>
      <c r="K128" s="242"/>
      <c r="L128" s="242"/>
      <c r="M128" s="242"/>
      <c r="N128" s="242"/>
      <c r="O128" s="242"/>
      <c r="P128" s="246"/>
    </row>
  </sheetData>
  <mergeCells count="30">
    <mergeCell ref="A2:P2"/>
    <mergeCell ref="A17:N17"/>
    <mergeCell ref="A22:N22"/>
    <mergeCell ref="A26:P26"/>
    <mergeCell ref="A31:N31"/>
    <mergeCell ref="A13:N13"/>
    <mergeCell ref="A76:N76"/>
    <mergeCell ref="A35:N35"/>
    <mergeCell ref="A40:N40"/>
    <mergeCell ref="A44:N44"/>
    <mergeCell ref="A49:N49"/>
    <mergeCell ref="A53:N53"/>
    <mergeCell ref="A67:N67"/>
    <mergeCell ref="A71:P71"/>
    <mergeCell ref="E1:K1"/>
    <mergeCell ref="A112:N112"/>
    <mergeCell ref="A116:N116"/>
    <mergeCell ref="A121:N121"/>
    <mergeCell ref="A125:P125"/>
    <mergeCell ref="A85:N85"/>
    <mergeCell ref="A94:N94"/>
    <mergeCell ref="A98:N98"/>
    <mergeCell ref="A103:N103"/>
    <mergeCell ref="A107:N107"/>
    <mergeCell ref="A89:N89"/>
    <mergeCell ref="A58:N58"/>
    <mergeCell ref="A62:N62"/>
    <mergeCell ref="A80:P80"/>
    <mergeCell ref="A4:N4"/>
    <mergeCell ref="A8:P8"/>
  </mergeCells>
  <hyperlinks>
    <hyperlink ref="A1" location="Overview!A1" display="Back to Overview" xr:uid="{00000000-0004-0000-2500-000000000000}"/>
  </hyperlinks>
  <pageMargins left="0.39370078740157483" right="0.35433070866141736" top="1.1023622047244095" bottom="0.55118110236220474" header="0.35433070866141736" footer="0.31496062992125984"/>
  <pageSetup paperSize="9" scale="42"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EHV Properties. Addendum to Schedule of Charges for use of the Distribution System by EHV Properties (including LDNOs with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pageSetUpPr fitToPage="1"/>
  </sheetPr>
  <dimension ref="A1:D43"/>
  <sheetViews>
    <sheetView topLeftCell="A4" zoomScale="50" zoomScaleNormal="50" workbookViewId="0"/>
  </sheetViews>
  <sheetFormatPr defaultColWidth="9.15234375" defaultRowHeight="27.75" customHeight="1" x14ac:dyDescent="0.3"/>
  <cols>
    <col min="1" max="1" width="29.84375" style="1" customWidth="1"/>
    <col min="2" max="2" width="48.53515625" style="1" customWidth="1"/>
    <col min="3" max="3" width="23.69140625" style="2" customWidth="1"/>
    <col min="4" max="4" width="43.53515625" style="2" customWidth="1"/>
    <col min="5" max="5" width="15.53515625" style="1" customWidth="1"/>
    <col min="6" max="16384" width="9.15234375" style="1"/>
  </cols>
  <sheetData>
    <row r="1" spans="1:4" ht="27.75" customHeight="1" x14ac:dyDescent="0.3">
      <c r="A1" s="30" t="s">
        <v>19</v>
      </c>
      <c r="B1" s="618" t="s">
        <v>726</v>
      </c>
      <c r="C1" s="619"/>
      <c r="D1" s="620"/>
    </row>
    <row r="2" spans="1:4" s="8" customFormat="1" ht="58.5" customHeight="1" x14ac:dyDescent="0.3">
      <c r="A2" s="553" t="str">
        <f>Overview!B4&amp;" - Effective from "&amp;Overview!D4&amp;" - Final Nodal charges in UKPN EPN Area (GSP Group_A)"</f>
        <v>Indigo Power Limited - Effective from 1 April 2023 - Final Nodal charges in UKPN EPN Area (GSP Group_A)</v>
      </c>
      <c r="B2" s="554"/>
      <c r="C2" s="554"/>
      <c r="D2" s="555"/>
    </row>
    <row r="3" spans="1:4" ht="58.5" customHeight="1" x14ac:dyDescent="0.3">
      <c r="A3" s="12" t="s">
        <v>296</v>
      </c>
      <c r="B3" s="12" t="s">
        <v>1</v>
      </c>
      <c r="C3" s="12" t="s">
        <v>273</v>
      </c>
      <c r="D3" s="12" t="s">
        <v>274</v>
      </c>
    </row>
    <row r="4" spans="1:4" ht="24.75" customHeight="1" x14ac:dyDescent="0.3"/>
    <row r="5" spans="1:4" ht="58.5" customHeight="1" x14ac:dyDescent="0.3">
      <c r="A5" s="553" t="str">
        <f>Overview!B4&amp;" - Effective from "&amp;Overview!D4&amp;" - Final Nodal/Zonal charges in WPD EM Area (GSP Group_B)"</f>
        <v>Indigo Power Limited - Effective from 1 April 2023 - Final Nodal/Zonal charges in WPD EM Area (GSP Group_B)</v>
      </c>
      <c r="B5" s="554"/>
      <c r="C5" s="554"/>
      <c r="D5" s="555"/>
    </row>
    <row r="6" spans="1:4" ht="58.5" customHeight="1" x14ac:dyDescent="0.3">
      <c r="A6" s="12" t="s">
        <v>296</v>
      </c>
      <c r="B6" s="12" t="s">
        <v>1</v>
      </c>
      <c r="C6" s="12" t="s">
        <v>273</v>
      </c>
      <c r="D6" s="12" t="s">
        <v>274</v>
      </c>
    </row>
    <row r="7" spans="1:4" ht="24.75" customHeight="1" x14ac:dyDescent="0.3"/>
    <row r="8" spans="1:4" ht="58.5" customHeight="1" x14ac:dyDescent="0.3">
      <c r="A8" s="553" t="str">
        <f>Overview!B4&amp;" - Effective from "&amp;Overview!D4&amp;" - Final Nodal charges in UKPN LPN Area (GSP Group_C)"</f>
        <v>Indigo Power Limited - Effective from 1 April 2023 - Final Nodal charges in UKPN LPN Area (GSP Group_C)</v>
      </c>
      <c r="B8" s="554"/>
      <c r="C8" s="554"/>
      <c r="D8" s="555"/>
    </row>
    <row r="9" spans="1:4" ht="58.5" customHeight="1" x14ac:dyDescent="0.3">
      <c r="A9" s="12" t="s">
        <v>296</v>
      </c>
      <c r="B9" s="12" t="s">
        <v>1</v>
      </c>
      <c r="C9" s="12" t="s">
        <v>273</v>
      </c>
      <c r="D9" s="12" t="s">
        <v>274</v>
      </c>
    </row>
    <row r="10" spans="1:4" ht="24.75" customHeight="1" x14ac:dyDescent="0.3"/>
    <row r="11" spans="1:4" ht="58.5" customHeight="1" x14ac:dyDescent="0.3">
      <c r="A11" s="553" t="str">
        <f>Overview!B4&amp;" - Effective from "&amp;Overview!D4&amp;" - Final Nodal/Zonal charges in SP Manweb Area                                                                                                         (GSP Group_D)"</f>
        <v>Indigo Power Limited - Effective from 1 April 2023 - Final Nodal/Zonal charges in SP Manweb Area                                                                                                         (GSP Group_D)</v>
      </c>
      <c r="B11" s="554"/>
      <c r="C11" s="554"/>
      <c r="D11" s="555"/>
    </row>
    <row r="12" spans="1:4" ht="58.5" customHeight="1" x14ac:dyDescent="0.3">
      <c r="A12" s="12" t="s">
        <v>296</v>
      </c>
      <c r="B12" s="12" t="s">
        <v>1</v>
      </c>
      <c r="C12" s="12" t="s">
        <v>273</v>
      </c>
      <c r="D12" s="12" t="s">
        <v>274</v>
      </c>
    </row>
    <row r="13" spans="1:4" ht="24.75" customHeight="1" x14ac:dyDescent="0.3"/>
    <row r="14" spans="1:4" ht="58.5" customHeight="1" x14ac:dyDescent="0.3">
      <c r="A14" s="553" t="str">
        <f>Overview!B4&amp;" - Effective from "&amp;Overview!D4&amp;" - Final Nodal/Zonal charges in WPD West Midlands Area                                                                                                                       (GSP Group_E)"</f>
        <v>Indigo Power Limited - Effective from 1 April 2023 - Final Nodal/Zonal charges in WPD West Midlands Area                                                                                                                       (GSP Group_E)</v>
      </c>
      <c r="B14" s="554"/>
      <c r="C14" s="554"/>
      <c r="D14" s="555"/>
    </row>
    <row r="15" spans="1:4" ht="58.5" customHeight="1" x14ac:dyDescent="0.3">
      <c r="A15" s="12" t="s">
        <v>296</v>
      </c>
      <c r="B15" s="12" t="s">
        <v>1</v>
      </c>
      <c r="C15" s="12" t="s">
        <v>273</v>
      </c>
      <c r="D15" s="12" t="s">
        <v>274</v>
      </c>
    </row>
    <row r="16" spans="1:4" ht="24.75" customHeight="1" x14ac:dyDescent="0.3"/>
    <row r="17" spans="1:4" ht="58.5" customHeight="1" x14ac:dyDescent="0.3">
      <c r="A17" s="553" t="str">
        <f>Overview!B4&amp;" - Effective from "&amp;Overview!D4&amp;" - Final Nodal/Zonal charges in NPG Northeast Area (GSP Group_F)"</f>
        <v>Indigo Power Limited - Effective from 1 April 2023 - Final Nodal/Zonal charges in NPG Northeast Area (GSP Group_F)</v>
      </c>
      <c r="B17" s="554"/>
      <c r="C17" s="554"/>
      <c r="D17" s="555"/>
    </row>
    <row r="18" spans="1:4" ht="58.5" customHeight="1" x14ac:dyDescent="0.3">
      <c r="A18" s="12" t="s">
        <v>296</v>
      </c>
      <c r="B18" s="12" t="s">
        <v>1</v>
      </c>
      <c r="C18" s="12" t="s">
        <v>273</v>
      </c>
      <c r="D18" s="12" t="s">
        <v>274</v>
      </c>
    </row>
    <row r="19" spans="1:4" ht="58.5" customHeight="1" x14ac:dyDescent="0.3"/>
    <row r="20" spans="1:4" ht="58.5" customHeight="1" x14ac:dyDescent="0.3">
      <c r="A20" s="553" t="str">
        <f>Overview!B4&amp;" - Effective from "&amp;Overview!D4&amp;" - Final Nodal/Zonal charges in Electricity North West Area (GSP Group_G)"</f>
        <v>Indigo Power Limited - Effective from 1 April 2023 - Final Nodal/Zonal charges in Electricity North West Area (GSP Group_G)</v>
      </c>
      <c r="B20" s="554"/>
      <c r="C20" s="554"/>
      <c r="D20" s="555"/>
    </row>
    <row r="21" spans="1:4" ht="58.5" customHeight="1" x14ac:dyDescent="0.3">
      <c r="A21" s="12" t="s">
        <v>296</v>
      </c>
      <c r="B21" s="12" t="s">
        <v>1</v>
      </c>
      <c r="C21" s="12" t="s">
        <v>273</v>
      </c>
      <c r="D21" s="12" t="s">
        <v>274</v>
      </c>
    </row>
    <row r="23" spans="1:4" ht="58.5" customHeight="1" x14ac:dyDescent="0.3">
      <c r="A23" s="553" t="str">
        <f>Overview!B4&amp;" - Effective from "&amp;Overview!D4&amp;" - Final Nodal charges in SSE SEPN Area (GSP Group_H)"</f>
        <v>Indigo Power Limited - Effective from 1 April 2023 - Final Nodal charges in SSE SEPN Area (GSP Group_H)</v>
      </c>
      <c r="B23" s="554"/>
      <c r="C23" s="554"/>
      <c r="D23" s="555"/>
    </row>
    <row r="24" spans="1:4" ht="58.5" customHeight="1" x14ac:dyDescent="0.3">
      <c r="A24" s="12" t="s">
        <v>296</v>
      </c>
      <c r="B24" s="12" t="s">
        <v>1</v>
      </c>
      <c r="C24" s="12" t="s">
        <v>273</v>
      </c>
      <c r="D24" s="12" t="s">
        <v>274</v>
      </c>
    </row>
    <row r="25" spans="1:4" ht="24.75" customHeight="1" x14ac:dyDescent="0.3"/>
    <row r="26" spans="1:4" ht="58.5" customHeight="1" x14ac:dyDescent="0.3">
      <c r="A26" s="553" t="str">
        <f>Overview!B4&amp;" - Effective from "&amp;Overview!D4&amp;" - Final Nodal charges in UKPN SPN Area (GSP Group_J)"</f>
        <v>Indigo Power Limited - Effective from 1 April 2023 - Final Nodal charges in UKPN SPN Area (GSP Group_J)</v>
      </c>
      <c r="B26" s="554"/>
      <c r="C26" s="554"/>
      <c r="D26" s="555"/>
    </row>
    <row r="27" spans="1:4" ht="58.5" customHeight="1" x14ac:dyDescent="0.3">
      <c r="A27" s="12" t="s">
        <v>296</v>
      </c>
      <c r="B27" s="12" t="s">
        <v>1</v>
      </c>
      <c r="C27" s="12" t="s">
        <v>273</v>
      </c>
      <c r="D27" s="12" t="s">
        <v>274</v>
      </c>
    </row>
    <row r="28" spans="1:4" ht="24.75" customHeight="1" x14ac:dyDescent="0.3"/>
    <row r="29" spans="1:4" ht="58.5" customHeight="1" x14ac:dyDescent="0.3">
      <c r="A29" s="553" t="str">
        <f>Overview!B4&amp;" - Effective from "&amp;Overview!D4&amp;" - Final Nodal/Zonal charges in WPD South Wales Area (GSP Group_K)"</f>
        <v>Indigo Power Limited - Effective from 1 April 2023 - Final Nodal/Zonal charges in WPD South Wales Area (GSP Group_K)</v>
      </c>
      <c r="B29" s="554"/>
      <c r="C29" s="554"/>
      <c r="D29" s="555"/>
    </row>
    <row r="30" spans="1:4" ht="58.5" customHeight="1" x14ac:dyDescent="0.3">
      <c r="A30" s="12" t="s">
        <v>296</v>
      </c>
      <c r="B30" s="12" t="s">
        <v>1</v>
      </c>
      <c r="C30" s="12" t="s">
        <v>273</v>
      </c>
      <c r="D30" s="12" t="s">
        <v>274</v>
      </c>
    </row>
    <row r="31" spans="1:4" ht="24.75" customHeight="1" x14ac:dyDescent="0.3"/>
    <row r="32" spans="1:4" ht="58.5" customHeight="1" x14ac:dyDescent="0.3">
      <c r="A32" s="553" t="str">
        <f>Overview!B4&amp;" - Effective from "&amp;Overview!D4&amp;" - Final Nodal/Zonal charges in WPD South West Area (GSP Group_L)"</f>
        <v>Indigo Power Limited - Effective from 1 April 2023 - Final Nodal/Zonal charges in WPD South West Area (GSP Group_L)</v>
      </c>
      <c r="B32" s="554"/>
      <c r="C32" s="554"/>
      <c r="D32" s="555"/>
    </row>
    <row r="33" spans="1:4" ht="58.5" customHeight="1" x14ac:dyDescent="0.3">
      <c r="A33" s="12" t="s">
        <v>296</v>
      </c>
      <c r="B33" s="12" t="s">
        <v>1</v>
      </c>
      <c r="C33" s="12" t="s">
        <v>273</v>
      </c>
      <c r="D33" s="12" t="s">
        <v>274</v>
      </c>
    </row>
    <row r="34" spans="1:4" ht="24.75" customHeight="1" x14ac:dyDescent="0.3"/>
    <row r="35" spans="1:4" ht="58.5" customHeight="1" x14ac:dyDescent="0.3">
      <c r="A35" s="553" t="str">
        <f>Overview!B4&amp;" - Effective from "&amp;Overview!D4&amp;" - Final Nodal/Zonal charges in NPG Yorkshire Area (GSP Group_M)"</f>
        <v>Indigo Power Limited - Effective from 1 April 2023 - Final Nodal/Zonal charges in NPG Yorkshire Area (GSP Group_M)</v>
      </c>
      <c r="B35" s="554"/>
      <c r="C35" s="554"/>
      <c r="D35" s="555"/>
    </row>
    <row r="36" spans="1:4" ht="58.5" customHeight="1" x14ac:dyDescent="0.3">
      <c r="A36" s="12" t="s">
        <v>296</v>
      </c>
      <c r="B36" s="12" t="s">
        <v>1</v>
      </c>
      <c r="C36" s="12" t="s">
        <v>273</v>
      </c>
      <c r="D36" s="12" t="s">
        <v>274</v>
      </c>
    </row>
    <row r="37" spans="1:4" ht="24.75" customHeight="1" x14ac:dyDescent="0.3"/>
    <row r="38" spans="1:4" ht="58.5" customHeight="1" x14ac:dyDescent="0.3">
      <c r="A38" s="553" t="str">
        <f>Overview!B31&amp;" - Effective from "&amp;Overview!D31&amp;" - Final Nodal/Zonal charges in SP Distribution  Area                                                                                                         (GSP Group_N)"</f>
        <v>Tariffs in NPG Northeast Area (GSP Group_F) - Effective from  - Final Nodal/Zonal charges in SP Distribution  Area                                                                                                         (GSP Group_N)</v>
      </c>
      <c r="B38" s="554"/>
      <c r="C38" s="554"/>
      <c r="D38" s="555"/>
    </row>
    <row r="39" spans="1:4" ht="58.5" customHeight="1" x14ac:dyDescent="0.3">
      <c r="A39" s="12" t="s">
        <v>296</v>
      </c>
      <c r="B39" s="12" t="s">
        <v>1</v>
      </c>
      <c r="C39" s="12" t="s">
        <v>273</v>
      </c>
      <c r="D39" s="12" t="s">
        <v>274</v>
      </c>
    </row>
    <row r="41" spans="1:4" ht="58.5" customHeight="1" x14ac:dyDescent="0.3">
      <c r="A41" s="553" t="str">
        <f>Overview!B22&amp;" - Effective from "&amp;Overview!D22&amp;" - Final Nodal charges in SSE SHEPD Area (GSP Group_P)"</f>
        <v>Charges in SSE SHEPD Area (GSP Group_P) - Effective from  - Final Nodal charges in SSE SHEPD Area (GSP Group_P)</v>
      </c>
      <c r="B41" s="554"/>
      <c r="C41" s="554"/>
      <c r="D41" s="555"/>
    </row>
    <row r="42" spans="1:4" ht="58.5" customHeight="1" x14ac:dyDescent="0.3">
      <c r="A42" s="12" t="s">
        <v>296</v>
      </c>
      <c r="B42" s="12" t="s">
        <v>1</v>
      </c>
      <c r="C42" s="12" t="s">
        <v>273</v>
      </c>
      <c r="D42" s="12" t="s">
        <v>274</v>
      </c>
    </row>
    <row r="43" spans="1:4" ht="24.75" customHeight="1" x14ac:dyDescent="0.3"/>
  </sheetData>
  <sheetProtection selectLockedCells="1" selectUnlockedCells="1"/>
  <mergeCells count="15">
    <mergeCell ref="B1:D1"/>
    <mergeCell ref="A38:D38"/>
    <mergeCell ref="A41:D41"/>
    <mergeCell ref="A2:D2"/>
    <mergeCell ref="A5:D5"/>
    <mergeCell ref="A8:D8"/>
    <mergeCell ref="A11:D11"/>
    <mergeCell ref="A14:D14"/>
    <mergeCell ref="A35:D35"/>
    <mergeCell ref="A17:D17"/>
    <mergeCell ref="A20:D20"/>
    <mergeCell ref="A26:D26"/>
    <mergeCell ref="A29:D29"/>
    <mergeCell ref="A32:D32"/>
    <mergeCell ref="A23:D23"/>
  </mergeCells>
  <hyperlinks>
    <hyperlink ref="A1" location="Overview!A1" display="Back to Overview" xr:uid="{00000000-0004-0000-26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1">
    <pageSetUpPr fitToPage="1"/>
  </sheetPr>
  <dimension ref="A1:I1205"/>
  <sheetViews>
    <sheetView zoomScale="50" zoomScaleNormal="50" workbookViewId="0">
      <selection activeCell="J22" sqref="J22"/>
    </sheetView>
  </sheetViews>
  <sheetFormatPr defaultColWidth="11.53515625" defaultRowHeight="12.45" x14ac:dyDescent="0.3"/>
  <cols>
    <col min="1" max="1" width="13.84375" style="21" customWidth="1"/>
    <col min="2" max="2" width="11.53515625" style="21" customWidth="1"/>
    <col min="3" max="3" width="37.3828125" style="21" bestFit="1" customWidth="1"/>
    <col min="4" max="4" width="40.53515625" style="22" bestFit="1" customWidth="1"/>
    <col min="5" max="6" width="4.69140625" style="21" customWidth="1"/>
    <col min="7" max="7" width="29.15234375" style="21" bestFit="1" customWidth="1"/>
    <col min="8" max="8" width="11.53515625" style="21"/>
    <col min="9" max="9" width="60.3046875" style="21" customWidth="1"/>
    <col min="10" max="16384" width="11.53515625" style="21"/>
  </cols>
  <sheetData>
    <row r="1" spans="1:2" ht="26.25" customHeight="1" x14ac:dyDescent="0.3">
      <c r="A1" s="700" t="s">
        <v>19</v>
      </c>
      <c r="B1" s="700"/>
    </row>
    <row r="2" spans="1:2" ht="12.75" customHeight="1" x14ac:dyDescent="0.3">
      <c r="A2" s="81"/>
      <c r="B2" s="81"/>
    </row>
    <row r="3" spans="1:2" ht="12.75" customHeight="1" x14ac:dyDescent="0.3">
      <c r="A3" s="81"/>
      <c r="B3" s="81"/>
    </row>
    <row r="4" spans="1:2" ht="12.75" customHeight="1" x14ac:dyDescent="0.3">
      <c r="A4" s="81"/>
      <c r="B4" s="81"/>
    </row>
    <row r="5" spans="1:2" ht="12.75" customHeight="1" x14ac:dyDescent="0.3">
      <c r="A5" s="81"/>
      <c r="B5" s="81"/>
    </row>
    <row r="6" spans="1:2" ht="12.75" customHeight="1" x14ac:dyDescent="0.3">
      <c r="A6" s="81"/>
      <c r="B6" s="81"/>
    </row>
    <row r="7" spans="1:2" ht="12.75" customHeight="1" x14ac:dyDescent="0.3">
      <c r="A7" s="81"/>
      <c r="B7" s="81"/>
    </row>
    <row r="8" spans="1:2" ht="12.75" customHeight="1" x14ac:dyDescent="0.3">
      <c r="A8" s="81"/>
      <c r="B8" s="81"/>
    </row>
    <row r="9" spans="1:2" ht="12.75" customHeight="1" x14ac:dyDescent="0.3">
      <c r="A9" s="81"/>
      <c r="B9" s="81"/>
    </row>
    <row r="10" spans="1:2" ht="12.75" customHeight="1" x14ac:dyDescent="0.3">
      <c r="A10" s="81"/>
      <c r="B10" s="81"/>
    </row>
    <row r="11" spans="1:2" ht="12.75" customHeight="1" x14ac:dyDescent="0.3">
      <c r="A11" s="81"/>
      <c r="B11" s="81"/>
    </row>
    <row r="12" spans="1:2" ht="12.75" customHeight="1" x14ac:dyDescent="0.3">
      <c r="A12" s="81"/>
      <c r="B12" s="81"/>
    </row>
    <row r="13" spans="1:2" ht="12.75" customHeight="1" x14ac:dyDescent="0.3">
      <c r="A13" s="81"/>
      <c r="B13" s="81"/>
    </row>
    <row r="14" spans="1:2" ht="12.75" customHeight="1" x14ac:dyDescent="0.3">
      <c r="A14" s="81"/>
      <c r="B14" s="81"/>
    </row>
    <row r="15" spans="1:2" ht="12.75" customHeight="1" x14ac:dyDescent="0.3">
      <c r="A15" s="81"/>
      <c r="B15" s="81"/>
    </row>
    <row r="16" spans="1:2" ht="12.75" customHeight="1" x14ac:dyDescent="0.3">
      <c r="A16" s="81"/>
      <c r="B16" s="81"/>
    </row>
    <row r="17" spans="1:9" ht="12.75" customHeight="1" x14ac:dyDescent="0.3">
      <c r="A17" s="81"/>
      <c r="B17" s="81"/>
    </row>
    <row r="18" spans="1:9" ht="12.75" customHeight="1" x14ac:dyDescent="0.3">
      <c r="A18" s="81"/>
      <c r="B18" s="81"/>
    </row>
    <row r="19" spans="1:9" ht="12.75" customHeight="1" x14ac:dyDescent="0.3">
      <c r="A19" s="81"/>
      <c r="B19" s="81"/>
    </row>
    <row r="20" spans="1:9" ht="12.75" customHeight="1" x14ac:dyDescent="0.3">
      <c r="A20" s="81"/>
      <c r="B20" s="81"/>
    </row>
    <row r="21" spans="1:9" ht="12.75" customHeight="1" x14ac:dyDescent="0.3">
      <c r="A21" s="81"/>
      <c r="B21" s="81"/>
    </row>
    <row r="22" spans="1:9" ht="12.75" customHeight="1" x14ac:dyDescent="0.3">
      <c r="A22" s="81"/>
      <c r="B22" s="81"/>
    </row>
    <row r="23" spans="1:9" ht="12.75" customHeight="1" x14ac:dyDescent="0.3">
      <c r="A23" s="81"/>
      <c r="B23" s="81"/>
    </row>
    <row r="24" spans="1:9" ht="12.75" customHeight="1" x14ac:dyDescent="0.3">
      <c r="A24" s="81"/>
      <c r="B24" s="81"/>
    </row>
    <row r="25" spans="1:9" ht="12.75" customHeight="1" x14ac:dyDescent="0.3">
      <c r="A25" s="81"/>
      <c r="B25" s="81"/>
    </row>
    <row r="26" spans="1:9" ht="12.75" customHeight="1" x14ac:dyDescent="0.3">
      <c r="A26" s="81"/>
      <c r="B26" s="81"/>
    </row>
    <row r="27" spans="1:9" ht="12.75" customHeight="1" x14ac:dyDescent="0.3">
      <c r="A27" s="81"/>
      <c r="B27" s="81"/>
    </row>
    <row r="28" spans="1:9" s="20" customFormat="1" ht="49.75" x14ac:dyDescent="0.3">
      <c r="A28" s="32" t="s">
        <v>32</v>
      </c>
      <c r="B28" s="32" t="s">
        <v>33</v>
      </c>
      <c r="C28" s="32" t="s">
        <v>34</v>
      </c>
      <c r="D28" s="32" t="s">
        <v>35</v>
      </c>
      <c r="E28" s="23"/>
      <c r="F28" s="23"/>
      <c r="G28" s="32" t="s">
        <v>255</v>
      </c>
      <c r="H28" s="32" t="s">
        <v>256</v>
      </c>
      <c r="I28" s="32" t="s">
        <v>257</v>
      </c>
    </row>
    <row r="29" spans="1:9" x14ac:dyDescent="0.3">
      <c r="A29" s="57">
        <v>3</v>
      </c>
      <c r="B29" s="58">
        <v>166</v>
      </c>
      <c r="C29" s="59" t="s">
        <v>36</v>
      </c>
      <c r="D29" s="60" t="s">
        <v>37</v>
      </c>
      <c r="H29" s="53">
        <v>40057</v>
      </c>
      <c r="I29" s="54" t="s">
        <v>258</v>
      </c>
    </row>
    <row r="30" spans="1:9" x14ac:dyDescent="0.3">
      <c r="A30" s="57">
        <v>4</v>
      </c>
      <c r="B30" s="58">
        <v>168</v>
      </c>
      <c r="C30" s="59" t="s">
        <v>36</v>
      </c>
      <c r="D30" s="60" t="s">
        <v>37</v>
      </c>
      <c r="G30" s="54" t="s">
        <v>259</v>
      </c>
      <c r="H30" s="53">
        <v>40275</v>
      </c>
      <c r="I30" s="82" t="s">
        <v>263</v>
      </c>
    </row>
    <row r="31" spans="1:9" x14ac:dyDescent="0.3">
      <c r="A31" s="57">
        <v>5</v>
      </c>
      <c r="B31" s="58">
        <v>100</v>
      </c>
      <c r="C31" s="59" t="s">
        <v>38</v>
      </c>
      <c r="D31" s="60" t="s">
        <v>37</v>
      </c>
      <c r="G31" s="83" t="s">
        <v>266</v>
      </c>
      <c r="H31" s="53">
        <v>40347</v>
      </c>
      <c r="I31" s="21" t="s">
        <v>260</v>
      </c>
    </row>
    <row r="32" spans="1:9" x14ac:dyDescent="0.3">
      <c r="A32" s="57">
        <v>6</v>
      </c>
      <c r="B32" s="58">
        <v>257</v>
      </c>
      <c r="C32" s="59" t="s">
        <v>39</v>
      </c>
      <c r="D32" s="60" t="s">
        <v>37</v>
      </c>
      <c r="G32" s="82" t="s">
        <v>267</v>
      </c>
      <c r="H32" s="53">
        <v>41166</v>
      </c>
      <c r="I32" s="82" t="s">
        <v>268</v>
      </c>
    </row>
    <row r="33" spans="1:9" x14ac:dyDescent="0.3">
      <c r="A33" s="57">
        <v>7</v>
      </c>
      <c r="B33" s="58">
        <v>158</v>
      </c>
      <c r="C33" s="59" t="s">
        <v>39</v>
      </c>
      <c r="D33" s="60" t="s">
        <v>37</v>
      </c>
      <c r="G33" s="83" t="s">
        <v>261</v>
      </c>
      <c r="H33" s="53">
        <v>41178</v>
      </c>
      <c r="I33" s="82" t="s">
        <v>262</v>
      </c>
    </row>
    <row r="34" spans="1:9" x14ac:dyDescent="0.3">
      <c r="A34" s="57">
        <v>8</v>
      </c>
      <c r="B34" s="58">
        <v>159</v>
      </c>
      <c r="C34" s="59" t="s">
        <v>39</v>
      </c>
      <c r="D34" s="60" t="s">
        <v>37</v>
      </c>
      <c r="G34" s="54" t="s">
        <v>320</v>
      </c>
      <c r="H34" s="53">
        <v>41758</v>
      </c>
      <c r="I34" s="21" t="s">
        <v>321</v>
      </c>
    </row>
    <row r="35" spans="1:9" x14ac:dyDescent="0.3">
      <c r="A35" s="57">
        <v>9</v>
      </c>
      <c r="B35" s="58">
        <v>1111</v>
      </c>
      <c r="C35" s="59" t="s">
        <v>39</v>
      </c>
      <c r="D35" s="60" t="s">
        <v>37</v>
      </c>
      <c r="G35" s="21" t="s">
        <v>318</v>
      </c>
      <c r="H35" s="53">
        <v>41758</v>
      </c>
      <c r="I35" s="54" t="s">
        <v>319</v>
      </c>
    </row>
    <row r="36" spans="1:9" x14ac:dyDescent="0.3">
      <c r="A36" s="57">
        <v>10</v>
      </c>
      <c r="B36" s="58">
        <v>1104</v>
      </c>
      <c r="C36" s="59" t="s">
        <v>39</v>
      </c>
      <c r="D36" s="60" t="s">
        <v>37</v>
      </c>
      <c r="G36" s="21" t="s">
        <v>318</v>
      </c>
      <c r="H36" s="53">
        <v>41944</v>
      </c>
      <c r="I36" s="54" t="s">
        <v>366</v>
      </c>
    </row>
    <row r="37" spans="1:9" x14ac:dyDescent="0.3">
      <c r="A37" s="57">
        <v>11</v>
      </c>
      <c r="B37" s="58">
        <v>1112</v>
      </c>
      <c r="C37" s="59" t="s">
        <v>39</v>
      </c>
      <c r="D37" s="60" t="s">
        <v>37</v>
      </c>
      <c r="G37" s="21" t="s">
        <v>369</v>
      </c>
      <c r="H37" s="53">
        <v>42081</v>
      </c>
      <c r="I37" s="21" t="s">
        <v>370</v>
      </c>
    </row>
    <row r="38" spans="1:9" x14ac:dyDescent="0.3">
      <c r="A38" s="57">
        <v>12</v>
      </c>
      <c r="B38" s="58">
        <v>1116</v>
      </c>
      <c r="C38" s="59" t="s">
        <v>39</v>
      </c>
      <c r="D38" s="60" t="s">
        <v>37</v>
      </c>
      <c r="G38" s="21" t="s">
        <v>371</v>
      </c>
      <c r="H38" s="53">
        <v>42081</v>
      </c>
      <c r="I38" s="21" t="s">
        <v>372</v>
      </c>
    </row>
    <row r="39" spans="1:9" x14ac:dyDescent="0.3">
      <c r="A39" s="57">
        <v>13</v>
      </c>
      <c r="B39" s="58">
        <v>139</v>
      </c>
      <c r="C39" s="59" t="s">
        <v>40</v>
      </c>
      <c r="D39" s="60" t="s">
        <v>275</v>
      </c>
      <c r="G39" s="21" t="s">
        <v>373</v>
      </c>
      <c r="H39" s="53">
        <v>42081</v>
      </c>
      <c r="I39" s="21" t="s">
        <v>398</v>
      </c>
    </row>
    <row r="40" spans="1:9" x14ac:dyDescent="0.3">
      <c r="A40" s="57">
        <v>15</v>
      </c>
      <c r="B40" s="58">
        <v>152</v>
      </c>
      <c r="C40" s="59" t="s">
        <v>40</v>
      </c>
      <c r="D40" s="60" t="s">
        <v>275</v>
      </c>
      <c r="G40" s="54" t="s">
        <v>368</v>
      </c>
      <c r="H40" s="53">
        <v>42081</v>
      </c>
      <c r="I40" s="54" t="s">
        <v>397</v>
      </c>
    </row>
    <row r="41" spans="1:9" x14ac:dyDescent="0.3">
      <c r="A41" s="57">
        <v>16</v>
      </c>
      <c r="B41" s="58">
        <v>113</v>
      </c>
      <c r="C41" s="59" t="s">
        <v>41</v>
      </c>
      <c r="D41" s="60" t="s">
        <v>276</v>
      </c>
      <c r="G41" s="21" t="s">
        <v>374</v>
      </c>
      <c r="H41" s="53">
        <v>42081</v>
      </c>
      <c r="I41" s="54" t="s">
        <v>375</v>
      </c>
    </row>
    <row r="42" spans="1:9" x14ac:dyDescent="0.3">
      <c r="A42" s="57">
        <v>17</v>
      </c>
      <c r="B42" s="58">
        <v>125</v>
      </c>
      <c r="C42" s="59" t="s">
        <v>41</v>
      </c>
      <c r="D42" s="60" t="s">
        <v>276</v>
      </c>
      <c r="G42" s="21" t="s">
        <v>376</v>
      </c>
      <c r="H42" s="53">
        <v>42081</v>
      </c>
      <c r="I42" s="21" t="s">
        <v>377</v>
      </c>
    </row>
    <row r="43" spans="1:9" x14ac:dyDescent="0.3">
      <c r="A43" s="57">
        <v>18</v>
      </c>
      <c r="B43" s="58">
        <v>126</v>
      </c>
      <c r="C43" s="59" t="s">
        <v>41</v>
      </c>
      <c r="D43" s="60" t="s">
        <v>276</v>
      </c>
      <c r="G43" s="21" t="s">
        <v>376</v>
      </c>
      <c r="H43" s="53">
        <v>42081</v>
      </c>
      <c r="I43" s="21" t="s">
        <v>378</v>
      </c>
    </row>
    <row r="44" spans="1:9" x14ac:dyDescent="0.3">
      <c r="A44" s="57">
        <v>19</v>
      </c>
      <c r="B44" s="58">
        <v>127</v>
      </c>
      <c r="C44" s="59" t="s">
        <v>41</v>
      </c>
      <c r="D44" s="60" t="s">
        <v>276</v>
      </c>
      <c r="G44" s="21" t="s">
        <v>379</v>
      </c>
      <c r="H44" s="53">
        <v>42081</v>
      </c>
      <c r="I44" s="21" t="s">
        <v>380</v>
      </c>
    </row>
    <row r="45" spans="1:9" x14ac:dyDescent="0.3">
      <c r="A45" s="57">
        <v>20</v>
      </c>
      <c r="B45" s="58">
        <v>129</v>
      </c>
      <c r="C45" s="59" t="s">
        <v>41</v>
      </c>
      <c r="D45" s="60" t="s">
        <v>276</v>
      </c>
      <c r="G45" s="21" t="s">
        <v>381</v>
      </c>
      <c r="H45" s="53">
        <v>42081</v>
      </c>
      <c r="I45" s="21" t="s">
        <v>382</v>
      </c>
    </row>
    <row r="46" spans="1:9" x14ac:dyDescent="0.3">
      <c r="A46" s="57">
        <v>21</v>
      </c>
      <c r="B46" s="58">
        <v>130</v>
      </c>
      <c r="C46" s="59" t="s">
        <v>41</v>
      </c>
      <c r="D46" s="60" t="s">
        <v>276</v>
      </c>
      <c r="G46" s="21" t="s">
        <v>383</v>
      </c>
      <c r="H46" s="53">
        <v>42081</v>
      </c>
      <c r="I46" s="21" t="s">
        <v>380</v>
      </c>
    </row>
    <row r="47" spans="1:9" x14ac:dyDescent="0.3">
      <c r="A47" s="57">
        <v>22</v>
      </c>
      <c r="B47" s="58">
        <v>131</v>
      </c>
      <c r="C47" s="59" t="s">
        <v>41</v>
      </c>
      <c r="D47" s="60" t="s">
        <v>276</v>
      </c>
      <c r="G47" s="21" t="s">
        <v>383</v>
      </c>
      <c r="H47" s="53">
        <v>42081</v>
      </c>
      <c r="I47" s="21" t="s">
        <v>384</v>
      </c>
    </row>
    <row r="48" spans="1:9" x14ac:dyDescent="0.3">
      <c r="A48" s="57">
        <v>23</v>
      </c>
      <c r="B48" s="58">
        <v>136</v>
      </c>
      <c r="C48" s="59" t="s">
        <v>42</v>
      </c>
      <c r="D48" s="60" t="s">
        <v>277</v>
      </c>
      <c r="G48" s="21" t="s">
        <v>385</v>
      </c>
      <c r="H48" s="53">
        <v>42081</v>
      </c>
      <c r="I48" s="21" t="s">
        <v>382</v>
      </c>
    </row>
    <row r="49" spans="1:9" x14ac:dyDescent="0.3">
      <c r="A49" s="57">
        <v>24</v>
      </c>
      <c r="B49" s="58">
        <v>137</v>
      </c>
      <c r="C49" s="59" t="s">
        <v>42</v>
      </c>
      <c r="D49" s="60" t="s">
        <v>276</v>
      </c>
      <c r="G49" s="21" t="s">
        <v>386</v>
      </c>
      <c r="H49" s="53">
        <v>42081</v>
      </c>
      <c r="I49" s="21" t="s">
        <v>380</v>
      </c>
    </row>
    <row r="50" spans="1:9" x14ac:dyDescent="0.3">
      <c r="A50" s="57">
        <v>25</v>
      </c>
      <c r="B50" s="58">
        <v>138</v>
      </c>
      <c r="C50" s="59" t="s">
        <v>42</v>
      </c>
      <c r="D50" s="60" t="s">
        <v>276</v>
      </c>
      <c r="G50" s="21" t="s">
        <v>387</v>
      </c>
      <c r="H50" s="53">
        <v>42081</v>
      </c>
      <c r="I50" s="21" t="s">
        <v>388</v>
      </c>
    </row>
    <row r="51" spans="1:9" x14ac:dyDescent="0.3">
      <c r="A51" s="57">
        <v>26</v>
      </c>
      <c r="B51" s="58">
        <v>141</v>
      </c>
      <c r="C51" s="59" t="s">
        <v>42</v>
      </c>
      <c r="D51" s="60" t="s">
        <v>37</v>
      </c>
      <c r="G51" s="21" t="s">
        <v>389</v>
      </c>
      <c r="H51" s="53">
        <v>42081</v>
      </c>
      <c r="I51" s="21" t="s">
        <v>390</v>
      </c>
    </row>
    <row r="52" spans="1:9" x14ac:dyDescent="0.3">
      <c r="A52" s="57">
        <v>28</v>
      </c>
      <c r="B52" s="58">
        <v>143</v>
      </c>
      <c r="C52" s="59" t="s">
        <v>42</v>
      </c>
      <c r="D52" s="60" t="s">
        <v>37</v>
      </c>
      <c r="G52" s="21" t="s">
        <v>391</v>
      </c>
      <c r="H52" s="53">
        <v>42081</v>
      </c>
      <c r="I52" s="21" t="s">
        <v>392</v>
      </c>
    </row>
    <row r="53" spans="1:9" x14ac:dyDescent="0.3">
      <c r="A53" s="57">
        <v>29</v>
      </c>
      <c r="B53" s="58">
        <v>144</v>
      </c>
      <c r="C53" s="59" t="s">
        <v>42</v>
      </c>
      <c r="D53" s="60" t="s">
        <v>275</v>
      </c>
      <c r="G53" s="21" t="s">
        <v>391</v>
      </c>
      <c r="H53" s="53">
        <v>42081</v>
      </c>
      <c r="I53" s="21" t="s">
        <v>393</v>
      </c>
    </row>
    <row r="54" spans="1:9" x14ac:dyDescent="0.3">
      <c r="A54" s="57">
        <v>30</v>
      </c>
      <c r="B54" s="58">
        <v>145</v>
      </c>
      <c r="C54" s="59" t="s">
        <v>42</v>
      </c>
      <c r="D54" s="60" t="s">
        <v>37</v>
      </c>
      <c r="G54" s="21" t="s">
        <v>394</v>
      </c>
      <c r="H54" s="53">
        <v>42081</v>
      </c>
      <c r="I54" s="21" t="s">
        <v>395</v>
      </c>
    </row>
    <row r="55" spans="1:9" x14ac:dyDescent="0.3">
      <c r="A55" s="57">
        <v>31</v>
      </c>
      <c r="B55" s="58">
        <v>146</v>
      </c>
      <c r="C55" s="59" t="s">
        <v>42</v>
      </c>
      <c r="D55" s="60" t="s">
        <v>37</v>
      </c>
      <c r="G55" s="21" t="s">
        <v>394</v>
      </c>
      <c r="H55" s="53">
        <v>42081</v>
      </c>
      <c r="I55" s="21" t="s">
        <v>396</v>
      </c>
    </row>
    <row r="56" spans="1:9" x14ac:dyDescent="0.3">
      <c r="A56" s="57">
        <v>32</v>
      </c>
      <c r="B56" s="58">
        <v>147</v>
      </c>
      <c r="C56" s="59" t="s">
        <v>42</v>
      </c>
      <c r="D56" s="60" t="s">
        <v>37</v>
      </c>
      <c r="G56" s="54" t="s">
        <v>399</v>
      </c>
      <c r="H56" s="53">
        <v>42089</v>
      </c>
      <c r="I56" s="54" t="s">
        <v>400</v>
      </c>
    </row>
    <row r="57" spans="1:9" x14ac:dyDescent="0.3">
      <c r="A57" s="57">
        <v>33</v>
      </c>
      <c r="B57" s="58">
        <v>228</v>
      </c>
      <c r="C57" s="59" t="s">
        <v>42</v>
      </c>
      <c r="D57" s="60" t="s">
        <v>277</v>
      </c>
      <c r="G57" s="54" t="s">
        <v>381</v>
      </c>
      <c r="H57" s="53">
        <v>42166</v>
      </c>
      <c r="I57" s="54" t="s">
        <v>380</v>
      </c>
    </row>
    <row r="58" spans="1:9" x14ac:dyDescent="0.3">
      <c r="A58" s="57">
        <v>34</v>
      </c>
      <c r="B58" s="58">
        <v>149</v>
      </c>
      <c r="C58" s="59" t="s">
        <v>42</v>
      </c>
      <c r="D58" s="60" t="s">
        <v>277</v>
      </c>
      <c r="G58" s="54" t="s">
        <v>385</v>
      </c>
      <c r="H58" s="53">
        <v>42166</v>
      </c>
      <c r="I58" s="54" t="s">
        <v>380</v>
      </c>
    </row>
    <row r="59" spans="1:9" x14ac:dyDescent="0.3">
      <c r="A59" s="57">
        <v>35</v>
      </c>
      <c r="B59" s="58">
        <v>150</v>
      </c>
      <c r="C59" s="59" t="s">
        <v>42</v>
      </c>
      <c r="D59" s="60" t="s">
        <v>37</v>
      </c>
      <c r="G59" s="54" t="s">
        <v>411</v>
      </c>
      <c r="H59" s="53">
        <v>42166</v>
      </c>
      <c r="I59" s="54" t="s">
        <v>89</v>
      </c>
    </row>
    <row r="60" spans="1:9" x14ac:dyDescent="0.3">
      <c r="A60" s="57">
        <v>36</v>
      </c>
      <c r="B60" s="58">
        <v>151</v>
      </c>
      <c r="C60" s="59" t="s">
        <v>42</v>
      </c>
      <c r="D60" s="60" t="s">
        <v>276</v>
      </c>
      <c r="G60" s="54" t="s">
        <v>412</v>
      </c>
      <c r="H60" s="53">
        <v>42166</v>
      </c>
      <c r="I60" s="54" t="s">
        <v>75</v>
      </c>
    </row>
    <row r="61" spans="1:9" x14ac:dyDescent="0.3">
      <c r="A61" s="57">
        <v>37</v>
      </c>
      <c r="B61" s="58">
        <v>153</v>
      </c>
      <c r="C61" s="59" t="s">
        <v>42</v>
      </c>
      <c r="D61" s="60" t="s">
        <v>276</v>
      </c>
      <c r="G61" s="54" t="s">
        <v>413</v>
      </c>
      <c r="H61" s="53">
        <v>42166</v>
      </c>
      <c r="I61" s="54" t="s">
        <v>173</v>
      </c>
    </row>
    <row r="62" spans="1:9" x14ac:dyDescent="0.3">
      <c r="A62" s="57">
        <v>38</v>
      </c>
      <c r="B62" s="58">
        <v>154</v>
      </c>
      <c r="C62" s="59" t="s">
        <v>42</v>
      </c>
      <c r="D62" s="60" t="s">
        <v>37</v>
      </c>
      <c r="G62" s="54" t="s">
        <v>414</v>
      </c>
      <c r="H62" s="53">
        <v>42166</v>
      </c>
      <c r="I62" s="54" t="s">
        <v>172</v>
      </c>
    </row>
    <row r="63" spans="1:9" x14ac:dyDescent="0.3">
      <c r="A63" s="57">
        <v>39</v>
      </c>
      <c r="B63" s="58">
        <v>155</v>
      </c>
      <c r="C63" s="59" t="s">
        <v>42</v>
      </c>
      <c r="D63" s="60" t="s">
        <v>37</v>
      </c>
      <c r="G63" s="54" t="s">
        <v>415</v>
      </c>
      <c r="H63" s="53">
        <v>42166</v>
      </c>
      <c r="I63" s="54" t="s">
        <v>416</v>
      </c>
    </row>
    <row r="64" spans="1:9" x14ac:dyDescent="0.3">
      <c r="A64" s="57">
        <v>40</v>
      </c>
      <c r="B64" s="58">
        <v>157</v>
      </c>
      <c r="C64" s="59" t="s">
        <v>41</v>
      </c>
      <c r="D64" s="60" t="s">
        <v>276</v>
      </c>
      <c r="G64" s="54" t="s">
        <v>417</v>
      </c>
      <c r="H64" s="53">
        <v>42166</v>
      </c>
      <c r="I64" s="54" t="s">
        <v>418</v>
      </c>
    </row>
    <row r="65" spans="1:9" x14ac:dyDescent="0.3">
      <c r="A65" s="57">
        <v>41</v>
      </c>
      <c r="B65" s="58">
        <v>171</v>
      </c>
      <c r="C65" s="59" t="s">
        <v>43</v>
      </c>
      <c r="D65" s="60" t="s">
        <v>276</v>
      </c>
      <c r="G65" s="54" t="s">
        <v>419</v>
      </c>
      <c r="H65" s="53">
        <v>42166</v>
      </c>
      <c r="I65" s="54" t="s">
        <v>420</v>
      </c>
    </row>
    <row r="66" spans="1:9" x14ac:dyDescent="0.3">
      <c r="A66" s="57">
        <v>42</v>
      </c>
      <c r="B66" s="58">
        <v>173</v>
      </c>
      <c r="C66" s="59" t="s">
        <v>44</v>
      </c>
      <c r="D66" s="60" t="s">
        <v>276</v>
      </c>
      <c r="G66" s="54" t="s">
        <v>421</v>
      </c>
      <c r="H66" s="53">
        <v>42166</v>
      </c>
      <c r="I66" s="54" t="s">
        <v>422</v>
      </c>
    </row>
    <row r="67" spans="1:9" x14ac:dyDescent="0.3">
      <c r="A67" s="57">
        <v>43</v>
      </c>
      <c r="B67" s="58">
        <v>174</v>
      </c>
      <c r="C67" s="59" t="s">
        <v>44</v>
      </c>
      <c r="D67" s="60" t="s">
        <v>276</v>
      </c>
      <c r="G67" s="54" t="s">
        <v>423</v>
      </c>
      <c r="H67" s="53">
        <v>42166</v>
      </c>
      <c r="I67" s="54" t="s">
        <v>424</v>
      </c>
    </row>
    <row r="68" spans="1:9" x14ac:dyDescent="0.3">
      <c r="A68" s="57">
        <v>44</v>
      </c>
      <c r="B68" s="58">
        <v>185</v>
      </c>
      <c r="C68" s="59" t="s">
        <v>43</v>
      </c>
      <c r="D68" s="60" t="s">
        <v>276</v>
      </c>
      <c r="G68" s="54" t="s">
        <v>425</v>
      </c>
      <c r="H68" s="53">
        <v>42166</v>
      </c>
      <c r="I68" s="54" t="s">
        <v>426</v>
      </c>
    </row>
    <row r="69" spans="1:9" x14ac:dyDescent="0.3">
      <c r="A69" s="57">
        <v>45</v>
      </c>
      <c r="B69" s="58">
        <v>19</v>
      </c>
      <c r="C69" s="59" t="s">
        <v>45</v>
      </c>
      <c r="D69" s="60" t="s">
        <v>37</v>
      </c>
      <c r="G69" s="54" t="s">
        <v>427</v>
      </c>
      <c r="H69" s="53">
        <v>42166</v>
      </c>
      <c r="I69" s="54" t="s">
        <v>428</v>
      </c>
    </row>
    <row r="70" spans="1:9" x14ac:dyDescent="0.3">
      <c r="A70" s="57">
        <v>46</v>
      </c>
      <c r="B70" s="58">
        <v>78</v>
      </c>
      <c r="C70" s="59" t="s">
        <v>46</v>
      </c>
      <c r="D70" s="60" t="s">
        <v>37</v>
      </c>
      <c r="G70" s="54" t="s">
        <v>429</v>
      </c>
      <c r="H70" s="53">
        <v>42166</v>
      </c>
      <c r="I70" s="54" t="s">
        <v>430</v>
      </c>
    </row>
    <row r="71" spans="1:9" x14ac:dyDescent="0.3">
      <c r="A71" s="57">
        <v>47</v>
      </c>
      <c r="B71" s="58">
        <v>15</v>
      </c>
      <c r="C71" s="59" t="s">
        <v>47</v>
      </c>
      <c r="D71" s="60" t="s">
        <v>37</v>
      </c>
      <c r="G71" s="54" t="s">
        <v>429</v>
      </c>
      <c r="H71" s="53">
        <v>42166</v>
      </c>
      <c r="I71" s="54" t="s">
        <v>431</v>
      </c>
    </row>
    <row r="72" spans="1:9" x14ac:dyDescent="0.3">
      <c r="A72" s="57">
        <v>48</v>
      </c>
      <c r="B72" s="58">
        <v>79</v>
      </c>
      <c r="C72" s="59" t="s">
        <v>48</v>
      </c>
      <c r="D72" s="60" t="s">
        <v>275</v>
      </c>
      <c r="G72" s="54" t="s">
        <v>432</v>
      </c>
      <c r="H72" s="53">
        <v>42166</v>
      </c>
      <c r="I72" s="54" t="s">
        <v>433</v>
      </c>
    </row>
    <row r="73" spans="1:9" x14ac:dyDescent="0.3">
      <c r="A73" s="57">
        <v>49</v>
      </c>
      <c r="B73" s="58">
        <v>128</v>
      </c>
      <c r="C73" s="59" t="s">
        <v>41</v>
      </c>
      <c r="D73" s="60" t="s">
        <v>37</v>
      </c>
      <c r="G73" s="54" t="s">
        <v>432</v>
      </c>
      <c r="H73" s="53">
        <v>42166</v>
      </c>
      <c r="I73" s="54" t="s">
        <v>434</v>
      </c>
    </row>
    <row r="74" spans="1:9" x14ac:dyDescent="0.3">
      <c r="A74" s="57">
        <v>50</v>
      </c>
      <c r="B74" s="58">
        <v>14</v>
      </c>
      <c r="C74" s="59" t="s">
        <v>49</v>
      </c>
      <c r="D74" s="60" t="s">
        <v>37</v>
      </c>
      <c r="G74" s="54" t="s">
        <v>435</v>
      </c>
      <c r="H74" s="53">
        <v>42166</v>
      </c>
      <c r="I74" s="54" t="s">
        <v>436</v>
      </c>
    </row>
    <row r="75" spans="1:9" x14ac:dyDescent="0.3">
      <c r="A75" s="57">
        <v>51</v>
      </c>
      <c r="B75" s="58">
        <v>112</v>
      </c>
      <c r="C75" s="59" t="s">
        <v>50</v>
      </c>
      <c r="D75" s="60">
        <v>1</v>
      </c>
      <c r="G75" s="54" t="s">
        <v>437</v>
      </c>
      <c r="H75" s="53">
        <v>42166</v>
      </c>
      <c r="I75" s="54" t="s">
        <v>438</v>
      </c>
    </row>
    <row r="76" spans="1:9" x14ac:dyDescent="0.3">
      <c r="A76" s="57">
        <v>51</v>
      </c>
      <c r="B76" s="58">
        <v>120</v>
      </c>
      <c r="C76" s="59" t="s">
        <v>50</v>
      </c>
      <c r="D76" s="60">
        <v>2</v>
      </c>
      <c r="G76" s="54" t="s">
        <v>439</v>
      </c>
      <c r="H76" s="53">
        <v>42166</v>
      </c>
      <c r="I76" s="54" t="s">
        <v>440</v>
      </c>
    </row>
    <row r="77" spans="1:9" x14ac:dyDescent="0.3">
      <c r="A77" s="57">
        <v>52</v>
      </c>
      <c r="B77" s="58">
        <v>114</v>
      </c>
      <c r="C77" s="59" t="s">
        <v>51</v>
      </c>
      <c r="D77" s="60" t="s">
        <v>275</v>
      </c>
      <c r="G77" s="54" t="s">
        <v>441</v>
      </c>
      <c r="H77" s="53">
        <v>42166</v>
      </c>
      <c r="I77" s="54" t="s">
        <v>442</v>
      </c>
    </row>
    <row r="78" spans="1:9" x14ac:dyDescent="0.3">
      <c r="A78" s="57">
        <v>53</v>
      </c>
      <c r="B78" s="58">
        <v>115</v>
      </c>
      <c r="C78" s="59" t="s">
        <v>51</v>
      </c>
      <c r="D78" s="60" t="s">
        <v>275</v>
      </c>
      <c r="G78" s="54" t="s">
        <v>443</v>
      </c>
      <c r="H78" s="53">
        <v>42166</v>
      </c>
      <c r="I78" s="54" t="s">
        <v>444</v>
      </c>
    </row>
    <row r="79" spans="1:9" x14ac:dyDescent="0.3">
      <c r="A79" s="57">
        <v>55</v>
      </c>
      <c r="B79" s="58">
        <v>117</v>
      </c>
      <c r="C79" s="59" t="s">
        <v>51</v>
      </c>
      <c r="D79" s="60" t="s">
        <v>275</v>
      </c>
      <c r="G79" s="54" t="s">
        <v>445</v>
      </c>
      <c r="H79" s="53">
        <v>42166</v>
      </c>
      <c r="I79" s="54" t="s">
        <v>446</v>
      </c>
    </row>
    <row r="80" spans="1:9" x14ac:dyDescent="0.3">
      <c r="A80" s="57">
        <v>56</v>
      </c>
      <c r="B80" s="58">
        <v>118</v>
      </c>
      <c r="C80" s="59" t="s">
        <v>51</v>
      </c>
      <c r="D80" s="60" t="s">
        <v>275</v>
      </c>
      <c r="G80" s="54" t="s">
        <v>447</v>
      </c>
      <c r="H80" s="53">
        <v>42166</v>
      </c>
      <c r="I80" s="54" t="s">
        <v>448</v>
      </c>
    </row>
    <row r="81" spans="1:9" x14ac:dyDescent="0.3">
      <c r="A81" s="57">
        <v>57</v>
      </c>
      <c r="B81" s="58">
        <v>119</v>
      </c>
      <c r="C81" s="59" t="s">
        <v>51</v>
      </c>
      <c r="D81" s="60" t="s">
        <v>37</v>
      </c>
      <c r="G81" s="54" t="s">
        <v>449</v>
      </c>
      <c r="H81" s="53">
        <v>42166</v>
      </c>
      <c r="I81" s="54" t="s">
        <v>450</v>
      </c>
    </row>
    <row r="82" spans="1:9" x14ac:dyDescent="0.3">
      <c r="A82" s="57">
        <v>58</v>
      </c>
      <c r="B82" s="58">
        <v>21</v>
      </c>
      <c r="C82" s="59" t="s">
        <v>89</v>
      </c>
      <c r="D82" s="60">
        <v>1</v>
      </c>
      <c r="G82" s="54" t="s">
        <v>449</v>
      </c>
      <c r="H82" s="53">
        <v>42166</v>
      </c>
      <c r="I82" s="54" t="s">
        <v>451</v>
      </c>
    </row>
    <row r="83" spans="1:9" x14ac:dyDescent="0.3">
      <c r="A83" s="57">
        <v>58</v>
      </c>
      <c r="B83" s="58">
        <v>175</v>
      </c>
      <c r="C83" s="59" t="s">
        <v>89</v>
      </c>
      <c r="D83" s="60">
        <v>1</v>
      </c>
      <c r="G83" s="54" t="s">
        <v>452</v>
      </c>
      <c r="H83" s="53">
        <v>42166</v>
      </c>
      <c r="I83" s="54" t="s">
        <v>453</v>
      </c>
    </row>
    <row r="84" spans="1:9" x14ac:dyDescent="0.3">
      <c r="A84" s="57">
        <v>59</v>
      </c>
      <c r="B84" s="58">
        <v>121</v>
      </c>
      <c r="C84" s="59" t="s">
        <v>51</v>
      </c>
      <c r="D84" s="60" t="s">
        <v>275</v>
      </c>
    </row>
    <row r="85" spans="1:9" x14ac:dyDescent="0.3">
      <c r="A85" s="57">
        <v>60</v>
      </c>
      <c r="B85" s="58">
        <v>122</v>
      </c>
      <c r="C85" s="59" t="s">
        <v>51</v>
      </c>
      <c r="D85" s="60" t="s">
        <v>37</v>
      </c>
    </row>
    <row r="86" spans="1:9" x14ac:dyDescent="0.3">
      <c r="A86" s="57">
        <v>62</v>
      </c>
      <c r="B86" s="58">
        <v>1119</v>
      </c>
      <c r="C86" s="59" t="s">
        <v>52</v>
      </c>
      <c r="D86" s="60" t="s">
        <v>278</v>
      </c>
    </row>
    <row r="87" spans="1:9" x14ac:dyDescent="0.3">
      <c r="A87" s="57">
        <v>63</v>
      </c>
      <c r="B87" s="58">
        <v>172</v>
      </c>
      <c r="C87" s="59" t="s">
        <v>44</v>
      </c>
      <c r="D87" s="60" t="s">
        <v>275</v>
      </c>
    </row>
    <row r="88" spans="1:9" x14ac:dyDescent="0.3">
      <c r="A88" s="57">
        <v>64</v>
      </c>
      <c r="B88" s="58">
        <v>1105</v>
      </c>
      <c r="C88" s="59" t="s">
        <v>51</v>
      </c>
      <c r="D88" s="60" t="s">
        <v>37</v>
      </c>
    </row>
    <row r="89" spans="1:9" x14ac:dyDescent="0.3">
      <c r="A89" s="57">
        <v>65</v>
      </c>
      <c r="B89" s="58">
        <v>10</v>
      </c>
      <c r="C89" s="59" t="s">
        <v>53</v>
      </c>
      <c r="D89" s="60" t="s">
        <v>37</v>
      </c>
    </row>
    <row r="90" spans="1:9" x14ac:dyDescent="0.3">
      <c r="A90" s="57">
        <v>66</v>
      </c>
      <c r="B90" s="58">
        <v>1106</v>
      </c>
      <c r="C90" s="59" t="s">
        <v>53</v>
      </c>
      <c r="D90" s="60" t="s">
        <v>37</v>
      </c>
    </row>
    <row r="91" spans="1:9" x14ac:dyDescent="0.3">
      <c r="A91" s="57">
        <v>67</v>
      </c>
      <c r="B91" s="58">
        <v>102</v>
      </c>
      <c r="C91" s="59" t="s">
        <v>54</v>
      </c>
      <c r="D91" s="60" t="s">
        <v>276</v>
      </c>
    </row>
    <row r="92" spans="1:9" x14ac:dyDescent="0.3">
      <c r="A92" s="57">
        <v>71</v>
      </c>
      <c r="B92" s="58">
        <v>109</v>
      </c>
      <c r="C92" s="59" t="s">
        <v>54</v>
      </c>
      <c r="D92" s="60" t="s">
        <v>37</v>
      </c>
    </row>
    <row r="93" spans="1:9" x14ac:dyDescent="0.3">
      <c r="A93" s="57">
        <v>72</v>
      </c>
      <c r="B93" s="58">
        <v>111</v>
      </c>
      <c r="C93" s="59" t="s">
        <v>54</v>
      </c>
      <c r="D93" s="60" t="s">
        <v>37</v>
      </c>
    </row>
    <row r="94" spans="1:9" x14ac:dyDescent="0.3">
      <c r="A94" s="57">
        <v>73</v>
      </c>
      <c r="B94" s="58">
        <v>156</v>
      </c>
      <c r="C94" s="59" t="s">
        <v>54</v>
      </c>
      <c r="D94" s="60" t="s">
        <v>276</v>
      </c>
    </row>
    <row r="95" spans="1:9" x14ac:dyDescent="0.3">
      <c r="A95" s="57">
        <v>74</v>
      </c>
      <c r="B95" s="58">
        <v>17</v>
      </c>
      <c r="C95" s="59" t="s">
        <v>55</v>
      </c>
      <c r="D95" s="60" t="s">
        <v>37</v>
      </c>
    </row>
    <row r="96" spans="1:9" x14ac:dyDescent="0.3">
      <c r="A96" s="57">
        <v>75</v>
      </c>
      <c r="B96" s="58">
        <v>62</v>
      </c>
      <c r="C96" s="59" t="s">
        <v>56</v>
      </c>
      <c r="D96" s="60" t="s">
        <v>37</v>
      </c>
    </row>
    <row r="97" spans="1:4" x14ac:dyDescent="0.3">
      <c r="A97" s="57">
        <v>76</v>
      </c>
      <c r="B97" s="58">
        <v>63</v>
      </c>
      <c r="C97" s="59" t="s">
        <v>56</v>
      </c>
      <c r="D97" s="60" t="s">
        <v>37</v>
      </c>
    </row>
    <row r="98" spans="1:4" x14ac:dyDescent="0.3">
      <c r="A98" s="57">
        <v>77</v>
      </c>
      <c r="B98" s="58">
        <v>134</v>
      </c>
      <c r="C98" s="59" t="s">
        <v>56</v>
      </c>
      <c r="D98" s="60" t="s">
        <v>37</v>
      </c>
    </row>
    <row r="99" spans="1:4" x14ac:dyDescent="0.3">
      <c r="A99" s="57">
        <v>78</v>
      </c>
      <c r="B99" s="58">
        <v>13</v>
      </c>
      <c r="C99" s="59" t="s">
        <v>57</v>
      </c>
      <c r="D99" s="60" t="s">
        <v>37</v>
      </c>
    </row>
    <row r="100" spans="1:4" x14ac:dyDescent="0.3">
      <c r="A100" s="57">
        <v>79</v>
      </c>
      <c r="B100" s="58">
        <v>97</v>
      </c>
      <c r="C100" s="59" t="s">
        <v>58</v>
      </c>
      <c r="D100" s="60">
        <v>2</v>
      </c>
    </row>
    <row r="101" spans="1:4" x14ac:dyDescent="0.3">
      <c r="A101" s="57">
        <v>79</v>
      </c>
      <c r="B101" s="58">
        <v>164</v>
      </c>
      <c r="C101" s="59" t="s">
        <v>58</v>
      </c>
      <c r="D101" s="60">
        <v>1</v>
      </c>
    </row>
    <row r="102" spans="1:4" x14ac:dyDescent="0.3">
      <c r="A102" s="57">
        <v>80</v>
      </c>
      <c r="B102" s="58">
        <v>96</v>
      </c>
      <c r="C102" s="59" t="s">
        <v>59</v>
      </c>
      <c r="D102" s="60" t="s">
        <v>37</v>
      </c>
    </row>
    <row r="103" spans="1:4" x14ac:dyDescent="0.3">
      <c r="A103" s="57">
        <v>81</v>
      </c>
      <c r="B103" s="58">
        <v>60</v>
      </c>
      <c r="C103" s="59" t="s">
        <v>60</v>
      </c>
      <c r="D103" s="60" t="s">
        <v>37</v>
      </c>
    </row>
    <row r="104" spans="1:4" x14ac:dyDescent="0.3">
      <c r="A104" s="57">
        <v>82</v>
      </c>
      <c r="B104" s="58">
        <v>83</v>
      </c>
      <c r="C104" s="59" t="s">
        <v>61</v>
      </c>
      <c r="D104" s="60" t="s">
        <v>37</v>
      </c>
    </row>
    <row r="105" spans="1:4" x14ac:dyDescent="0.3">
      <c r="A105" s="57">
        <v>83</v>
      </c>
      <c r="B105" s="58">
        <v>84</v>
      </c>
      <c r="C105" s="59" t="s">
        <v>61</v>
      </c>
      <c r="D105" s="60" t="s">
        <v>37</v>
      </c>
    </row>
    <row r="106" spans="1:4" x14ac:dyDescent="0.3">
      <c r="A106" s="57">
        <v>84</v>
      </c>
      <c r="B106" s="58">
        <v>85</v>
      </c>
      <c r="C106" s="59" t="s">
        <v>61</v>
      </c>
      <c r="D106" s="60" t="s">
        <v>37</v>
      </c>
    </row>
    <row r="107" spans="1:4" x14ac:dyDescent="0.3">
      <c r="A107" s="57">
        <v>85</v>
      </c>
      <c r="B107" s="58">
        <v>86</v>
      </c>
      <c r="C107" s="59" t="s">
        <v>61</v>
      </c>
      <c r="D107" s="60" t="s">
        <v>37</v>
      </c>
    </row>
    <row r="108" spans="1:4" x14ac:dyDescent="0.3">
      <c r="A108" s="57">
        <v>86</v>
      </c>
      <c r="B108" s="58">
        <v>1107</v>
      </c>
      <c r="C108" s="59" t="s">
        <v>61</v>
      </c>
      <c r="D108" s="60" t="s">
        <v>37</v>
      </c>
    </row>
    <row r="109" spans="1:4" x14ac:dyDescent="0.3">
      <c r="A109" s="57">
        <v>87</v>
      </c>
      <c r="B109" s="58">
        <v>1109</v>
      </c>
      <c r="C109" s="59" t="s">
        <v>61</v>
      </c>
      <c r="D109" s="60" t="s">
        <v>37</v>
      </c>
    </row>
    <row r="110" spans="1:4" x14ac:dyDescent="0.3">
      <c r="A110" s="57">
        <v>88</v>
      </c>
      <c r="B110" s="58">
        <v>1113</v>
      </c>
      <c r="C110" s="59" t="s">
        <v>61</v>
      </c>
      <c r="D110" s="60" t="s">
        <v>37</v>
      </c>
    </row>
    <row r="111" spans="1:4" x14ac:dyDescent="0.3">
      <c r="A111" s="57">
        <v>91</v>
      </c>
      <c r="B111" s="58">
        <v>3</v>
      </c>
      <c r="C111" s="59" t="s">
        <v>62</v>
      </c>
      <c r="D111" s="60" t="s">
        <v>37</v>
      </c>
    </row>
    <row r="112" spans="1:4" x14ac:dyDescent="0.3">
      <c r="A112" s="57">
        <v>92</v>
      </c>
      <c r="B112" s="58">
        <v>4</v>
      </c>
      <c r="C112" s="59" t="s">
        <v>62</v>
      </c>
      <c r="D112" s="60" t="s">
        <v>37</v>
      </c>
    </row>
    <row r="113" spans="1:4" x14ac:dyDescent="0.3">
      <c r="A113" s="57">
        <v>93</v>
      </c>
      <c r="B113" s="58">
        <v>30</v>
      </c>
      <c r="C113" s="59" t="s">
        <v>63</v>
      </c>
      <c r="D113" s="60">
        <v>1</v>
      </c>
    </row>
    <row r="114" spans="1:4" x14ac:dyDescent="0.3">
      <c r="A114" s="57">
        <v>93</v>
      </c>
      <c r="B114" s="58">
        <v>214</v>
      </c>
      <c r="C114" s="59" t="s">
        <v>63</v>
      </c>
      <c r="D114" s="60">
        <v>2</v>
      </c>
    </row>
    <row r="115" spans="1:4" x14ac:dyDescent="0.3">
      <c r="A115" s="57">
        <v>94</v>
      </c>
      <c r="B115" s="58">
        <v>1108</v>
      </c>
      <c r="C115" s="59" t="s">
        <v>62</v>
      </c>
      <c r="D115" s="60" t="s">
        <v>37</v>
      </c>
    </row>
    <row r="116" spans="1:4" x14ac:dyDescent="0.3">
      <c r="A116" s="57">
        <v>95</v>
      </c>
      <c r="B116" s="58">
        <v>1110</v>
      </c>
      <c r="C116" s="59" t="s">
        <v>62</v>
      </c>
      <c r="D116" s="60" t="s">
        <v>37</v>
      </c>
    </row>
    <row r="117" spans="1:4" x14ac:dyDescent="0.3">
      <c r="A117" s="57">
        <v>96</v>
      </c>
      <c r="B117" s="58">
        <v>1114</v>
      </c>
      <c r="C117" s="59" t="s">
        <v>62</v>
      </c>
      <c r="D117" s="60" t="s">
        <v>37</v>
      </c>
    </row>
    <row r="118" spans="1:4" x14ac:dyDescent="0.3">
      <c r="A118" s="57">
        <v>97</v>
      </c>
      <c r="B118" s="58">
        <v>54</v>
      </c>
      <c r="C118" s="59" t="s">
        <v>64</v>
      </c>
      <c r="D118" s="60" t="s">
        <v>37</v>
      </c>
    </row>
    <row r="119" spans="1:4" x14ac:dyDescent="0.3">
      <c r="A119" s="57">
        <v>98</v>
      </c>
      <c r="B119" s="58">
        <v>12</v>
      </c>
      <c r="C119" s="59" t="s">
        <v>65</v>
      </c>
      <c r="D119" s="60" t="s">
        <v>37</v>
      </c>
    </row>
    <row r="120" spans="1:4" x14ac:dyDescent="0.3">
      <c r="A120" s="57">
        <v>99</v>
      </c>
      <c r="B120" s="58">
        <v>75</v>
      </c>
      <c r="C120" s="59" t="s">
        <v>66</v>
      </c>
      <c r="D120" s="60" t="s">
        <v>275</v>
      </c>
    </row>
    <row r="121" spans="1:4" x14ac:dyDescent="0.3">
      <c r="A121" s="57">
        <v>100</v>
      </c>
      <c r="B121" s="58">
        <v>76</v>
      </c>
      <c r="C121" s="59" t="s">
        <v>66</v>
      </c>
      <c r="D121" s="60" t="s">
        <v>275</v>
      </c>
    </row>
    <row r="122" spans="1:4" x14ac:dyDescent="0.3">
      <c r="A122" s="57">
        <v>101</v>
      </c>
      <c r="B122" s="58">
        <v>7</v>
      </c>
      <c r="C122" s="59" t="s">
        <v>67</v>
      </c>
      <c r="D122" s="60" t="s">
        <v>37</v>
      </c>
    </row>
    <row r="123" spans="1:4" x14ac:dyDescent="0.3">
      <c r="A123" s="57">
        <v>102</v>
      </c>
      <c r="B123" s="58">
        <v>8</v>
      </c>
      <c r="C123" s="59" t="s">
        <v>67</v>
      </c>
      <c r="D123" s="60" t="s">
        <v>37</v>
      </c>
    </row>
    <row r="124" spans="1:4" x14ac:dyDescent="0.3">
      <c r="A124" s="57">
        <v>103</v>
      </c>
      <c r="B124" s="58">
        <v>9</v>
      </c>
      <c r="C124" s="59" t="s">
        <v>67</v>
      </c>
      <c r="D124" s="60" t="s">
        <v>37</v>
      </c>
    </row>
    <row r="125" spans="1:4" x14ac:dyDescent="0.3">
      <c r="A125" s="57">
        <v>104</v>
      </c>
      <c r="B125" s="58">
        <v>61</v>
      </c>
      <c r="C125" s="59" t="s">
        <v>68</v>
      </c>
      <c r="D125" s="60" t="s">
        <v>276</v>
      </c>
    </row>
    <row r="126" spans="1:4" x14ac:dyDescent="0.3">
      <c r="A126" s="57">
        <v>105</v>
      </c>
      <c r="B126" s="58">
        <v>65</v>
      </c>
      <c r="C126" s="59" t="s">
        <v>68</v>
      </c>
      <c r="D126" s="60" t="s">
        <v>37</v>
      </c>
    </row>
    <row r="127" spans="1:4" x14ac:dyDescent="0.3">
      <c r="A127" s="57">
        <v>106</v>
      </c>
      <c r="B127" s="58">
        <v>66</v>
      </c>
      <c r="C127" s="59" t="s">
        <v>68</v>
      </c>
      <c r="D127" s="60" t="s">
        <v>276</v>
      </c>
    </row>
    <row r="128" spans="1:4" x14ac:dyDescent="0.3">
      <c r="A128" s="57">
        <v>107</v>
      </c>
      <c r="B128" s="58">
        <v>67</v>
      </c>
      <c r="C128" s="59" t="s">
        <v>68</v>
      </c>
      <c r="D128" s="60" t="s">
        <v>276</v>
      </c>
    </row>
    <row r="129" spans="1:4" x14ac:dyDescent="0.3">
      <c r="A129" s="57">
        <v>108</v>
      </c>
      <c r="B129" s="58">
        <v>68</v>
      </c>
      <c r="C129" s="59" t="s">
        <v>68</v>
      </c>
      <c r="D129" s="60" t="s">
        <v>276</v>
      </c>
    </row>
    <row r="130" spans="1:4" x14ac:dyDescent="0.3">
      <c r="A130" s="57">
        <v>109</v>
      </c>
      <c r="B130" s="58">
        <v>69</v>
      </c>
      <c r="C130" s="59" t="s">
        <v>68</v>
      </c>
      <c r="D130" s="60" t="s">
        <v>37</v>
      </c>
    </row>
    <row r="131" spans="1:4" x14ac:dyDescent="0.3">
      <c r="A131" s="57">
        <v>110</v>
      </c>
      <c r="B131" s="58">
        <v>1348</v>
      </c>
      <c r="C131" s="59" t="s">
        <v>68</v>
      </c>
      <c r="D131" s="60" t="s">
        <v>37</v>
      </c>
    </row>
    <row r="132" spans="1:4" x14ac:dyDescent="0.3">
      <c r="A132" s="57">
        <v>111</v>
      </c>
      <c r="B132" s="58">
        <v>91</v>
      </c>
      <c r="C132" s="59" t="s">
        <v>69</v>
      </c>
      <c r="D132" s="60" t="s">
        <v>37</v>
      </c>
    </row>
    <row r="133" spans="1:4" x14ac:dyDescent="0.3">
      <c r="A133" s="57">
        <v>112</v>
      </c>
      <c r="B133" s="58">
        <v>22</v>
      </c>
      <c r="C133" s="59" t="s">
        <v>70</v>
      </c>
      <c r="D133" s="60" t="s">
        <v>275</v>
      </c>
    </row>
    <row r="134" spans="1:4" x14ac:dyDescent="0.3">
      <c r="A134" s="57">
        <v>113</v>
      </c>
      <c r="B134" s="58">
        <v>23</v>
      </c>
      <c r="C134" s="59" t="s">
        <v>70</v>
      </c>
      <c r="D134" s="60" t="s">
        <v>275</v>
      </c>
    </row>
    <row r="135" spans="1:4" x14ac:dyDescent="0.3">
      <c r="A135" s="57">
        <v>115</v>
      </c>
      <c r="B135" s="58">
        <v>25</v>
      </c>
      <c r="C135" s="59" t="s">
        <v>70</v>
      </c>
      <c r="D135" s="60" t="s">
        <v>37</v>
      </c>
    </row>
    <row r="136" spans="1:4" x14ac:dyDescent="0.3">
      <c r="A136" s="57">
        <v>116</v>
      </c>
      <c r="B136" s="58">
        <v>26</v>
      </c>
      <c r="C136" s="59" t="s">
        <v>70</v>
      </c>
      <c r="D136" s="60" t="s">
        <v>37</v>
      </c>
    </row>
    <row r="137" spans="1:4" x14ac:dyDescent="0.3">
      <c r="A137" s="57">
        <v>117</v>
      </c>
      <c r="B137" s="58">
        <v>1349</v>
      </c>
      <c r="C137" s="59" t="s">
        <v>70</v>
      </c>
      <c r="D137" s="60" t="s">
        <v>37</v>
      </c>
    </row>
    <row r="138" spans="1:4" x14ac:dyDescent="0.3">
      <c r="A138" s="57">
        <v>118</v>
      </c>
      <c r="B138" s="58">
        <v>6</v>
      </c>
      <c r="C138" s="59" t="s">
        <v>71</v>
      </c>
      <c r="D138" s="60" t="s">
        <v>37</v>
      </c>
    </row>
    <row r="139" spans="1:4" x14ac:dyDescent="0.3">
      <c r="A139" s="57">
        <v>119</v>
      </c>
      <c r="B139" s="58">
        <v>1350</v>
      </c>
      <c r="C139" s="59" t="s">
        <v>71</v>
      </c>
      <c r="D139" s="60" t="s">
        <v>37</v>
      </c>
    </row>
    <row r="140" spans="1:4" x14ac:dyDescent="0.3">
      <c r="A140" s="57">
        <v>120</v>
      </c>
      <c r="B140" s="58">
        <v>11</v>
      </c>
      <c r="C140" s="59" t="s">
        <v>44</v>
      </c>
      <c r="D140" s="60" t="s">
        <v>37</v>
      </c>
    </row>
    <row r="141" spans="1:4" x14ac:dyDescent="0.3">
      <c r="A141" s="57">
        <v>121</v>
      </c>
      <c r="B141" s="58">
        <v>26</v>
      </c>
      <c r="C141" s="59" t="s">
        <v>72</v>
      </c>
      <c r="D141" s="60">
        <v>2</v>
      </c>
    </row>
    <row r="142" spans="1:4" x14ac:dyDescent="0.3">
      <c r="A142" s="57">
        <v>121</v>
      </c>
      <c r="B142" s="58">
        <v>224</v>
      </c>
      <c r="C142" s="59" t="s">
        <v>72</v>
      </c>
      <c r="D142" s="60">
        <v>1</v>
      </c>
    </row>
    <row r="143" spans="1:4" x14ac:dyDescent="0.3">
      <c r="A143" s="57">
        <v>122</v>
      </c>
      <c r="B143" s="58">
        <v>201</v>
      </c>
      <c r="C143" s="59" t="s">
        <v>73</v>
      </c>
      <c r="D143" s="60">
        <v>1</v>
      </c>
    </row>
    <row r="144" spans="1:4" x14ac:dyDescent="0.3">
      <c r="A144" s="57">
        <v>122</v>
      </c>
      <c r="B144" s="58">
        <v>245</v>
      </c>
      <c r="C144" s="59" t="s">
        <v>73</v>
      </c>
      <c r="D144" s="60">
        <v>2</v>
      </c>
    </row>
    <row r="145" spans="1:4" x14ac:dyDescent="0.3">
      <c r="A145" s="57">
        <v>123</v>
      </c>
      <c r="B145" s="58">
        <v>1307</v>
      </c>
      <c r="C145" s="59" t="s">
        <v>74</v>
      </c>
      <c r="D145" s="60">
        <v>1</v>
      </c>
    </row>
    <row r="146" spans="1:4" x14ac:dyDescent="0.3">
      <c r="A146" s="57">
        <v>124</v>
      </c>
      <c r="B146" s="58">
        <v>1319</v>
      </c>
      <c r="C146" s="59" t="s">
        <v>74</v>
      </c>
      <c r="D146" s="60">
        <v>1</v>
      </c>
    </row>
    <row r="147" spans="1:4" x14ac:dyDescent="0.3">
      <c r="A147" s="57">
        <v>125</v>
      </c>
      <c r="B147" s="58">
        <v>1315</v>
      </c>
      <c r="C147" s="59" t="s">
        <v>74</v>
      </c>
      <c r="D147" s="60">
        <v>1</v>
      </c>
    </row>
    <row r="148" spans="1:4" x14ac:dyDescent="0.3">
      <c r="A148" s="57">
        <v>126</v>
      </c>
      <c r="B148" s="58">
        <v>1193</v>
      </c>
      <c r="C148" s="59" t="s">
        <v>75</v>
      </c>
      <c r="D148" s="60">
        <v>1</v>
      </c>
    </row>
    <row r="149" spans="1:4" x14ac:dyDescent="0.3">
      <c r="A149" s="57">
        <v>126</v>
      </c>
      <c r="B149" s="58">
        <v>1194</v>
      </c>
      <c r="C149" s="59" t="s">
        <v>75</v>
      </c>
      <c r="D149" s="60">
        <v>2</v>
      </c>
    </row>
    <row r="150" spans="1:4" x14ac:dyDescent="0.3">
      <c r="A150" s="57">
        <v>127</v>
      </c>
      <c r="B150" s="58">
        <v>80</v>
      </c>
      <c r="C150" s="59" t="s">
        <v>76</v>
      </c>
      <c r="D150" s="60" t="s">
        <v>276</v>
      </c>
    </row>
    <row r="151" spans="1:4" x14ac:dyDescent="0.3">
      <c r="A151" s="57">
        <v>127</v>
      </c>
      <c r="B151" s="58">
        <v>148</v>
      </c>
      <c r="C151" s="59" t="s">
        <v>76</v>
      </c>
      <c r="D151" s="60">
        <v>1</v>
      </c>
    </row>
    <row r="152" spans="1:4" x14ac:dyDescent="0.3">
      <c r="A152" s="57">
        <v>127</v>
      </c>
      <c r="B152" s="58">
        <v>221</v>
      </c>
      <c r="C152" s="59" t="s">
        <v>76</v>
      </c>
      <c r="D152" s="60" t="s">
        <v>278</v>
      </c>
    </row>
    <row r="153" spans="1:4" x14ac:dyDescent="0.3">
      <c r="A153" s="57">
        <v>128</v>
      </c>
      <c r="B153" s="58">
        <v>1120</v>
      </c>
      <c r="C153" s="59" t="s">
        <v>77</v>
      </c>
      <c r="D153" s="60">
        <v>1</v>
      </c>
    </row>
    <row r="154" spans="1:4" x14ac:dyDescent="0.3">
      <c r="A154" s="57">
        <v>128</v>
      </c>
      <c r="B154" s="58">
        <v>1121</v>
      </c>
      <c r="C154" s="59" t="s">
        <v>77</v>
      </c>
      <c r="D154" s="60">
        <v>1</v>
      </c>
    </row>
    <row r="155" spans="1:4" x14ac:dyDescent="0.3">
      <c r="A155" s="57">
        <v>128</v>
      </c>
      <c r="B155" s="58">
        <v>1122</v>
      </c>
      <c r="C155" s="59" t="s">
        <v>77</v>
      </c>
      <c r="D155" s="60">
        <v>2</v>
      </c>
    </row>
    <row r="156" spans="1:4" x14ac:dyDescent="0.3">
      <c r="A156" s="57">
        <v>129</v>
      </c>
      <c r="B156" s="58">
        <v>169</v>
      </c>
      <c r="C156" s="59" t="s">
        <v>76</v>
      </c>
      <c r="D156" s="60">
        <v>1</v>
      </c>
    </row>
    <row r="157" spans="1:4" x14ac:dyDescent="0.3">
      <c r="A157" s="57">
        <v>129</v>
      </c>
      <c r="B157" s="58">
        <v>202</v>
      </c>
      <c r="C157" s="59" t="s">
        <v>76</v>
      </c>
      <c r="D157" s="60">
        <v>1</v>
      </c>
    </row>
    <row r="158" spans="1:4" x14ac:dyDescent="0.3">
      <c r="A158" s="57">
        <v>129</v>
      </c>
      <c r="B158" s="58">
        <v>222</v>
      </c>
      <c r="C158" s="59" t="s">
        <v>76</v>
      </c>
      <c r="D158" s="60">
        <v>2</v>
      </c>
    </row>
    <row r="159" spans="1:4" x14ac:dyDescent="0.3">
      <c r="A159" s="57">
        <v>130</v>
      </c>
      <c r="B159" s="58">
        <v>1308</v>
      </c>
      <c r="C159" s="59" t="s">
        <v>78</v>
      </c>
      <c r="D159" s="60">
        <v>1</v>
      </c>
    </row>
    <row r="160" spans="1:4" x14ac:dyDescent="0.3">
      <c r="A160" s="57">
        <v>130</v>
      </c>
      <c r="B160" s="58">
        <v>1309</v>
      </c>
      <c r="C160" s="59" t="s">
        <v>78</v>
      </c>
      <c r="D160" s="60">
        <v>1</v>
      </c>
    </row>
    <row r="161" spans="1:4" x14ac:dyDescent="0.3">
      <c r="A161" s="57">
        <v>130</v>
      </c>
      <c r="B161" s="58">
        <v>1310</v>
      </c>
      <c r="C161" s="59" t="s">
        <v>78</v>
      </c>
      <c r="D161" s="60">
        <v>2</v>
      </c>
    </row>
    <row r="162" spans="1:4" x14ac:dyDescent="0.3">
      <c r="A162" s="57">
        <v>131</v>
      </c>
      <c r="B162" s="58">
        <v>1311</v>
      </c>
      <c r="C162" s="59" t="s">
        <v>78</v>
      </c>
      <c r="D162" s="60">
        <v>1</v>
      </c>
    </row>
    <row r="163" spans="1:4" x14ac:dyDescent="0.3">
      <c r="A163" s="57">
        <v>131</v>
      </c>
      <c r="B163" s="58">
        <v>1312</v>
      </c>
      <c r="C163" s="59" t="s">
        <v>78</v>
      </c>
      <c r="D163" s="60">
        <v>1</v>
      </c>
    </row>
    <row r="164" spans="1:4" x14ac:dyDescent="0.3">
      <c r="A164" s="57">
        <v>131</v>
      </c>
      <c r="B164" s="58">
        <v>1313</v>
      </c>
      <c r="C164" s="59" t="s">
        <v>78</v>
      </c>
      <c r="D164" s="60">
        <v>2</v>
      </c>
    </row>
    <row r="165" spans="1:4" x14ac:dyDescent="0.3">
      <c r="A165" s="57">
        <v>132</v>
      </c>
      <c r="B165" s="58">
        <v>92</v>
      </c>
      <c r="C165" s="59" t="s">
        <v>79</v>
      </c>
      <c r="D165" s="60" t="s">
        <v>275</v>
      </c>
    </row>
    <row r="166" spans="1:4" x14ac:dyDescent="0.3">
      <c r="A166" s="57">
        <v>132</v>
      </c>
      <c r="B166" s="58">
        <v>210</v>
      </c>
      <c r="C166" s="59" t="s">
        <v>79</v>
      </c>
      <c r="D166" s="60">
        <v>2</v>
      </c>
    </row>
    <row r="167" spans="1:4" x14ac:dyDescent="0.3">
      <c r="A167" s="57">
        <v>132</v>
      </c>
      <c r="B167" s="58">
        <v>234</v>
      </c>
      <c r="C167" s="59" t="s">
        <v>79</v>
      </c>
      <c r="D167" s="60" t="s">
        <v>275</v>
      </c>
    </row>
    <row r="168" spans="1:4" x14ac:dyDescent="0.3">
      <c r="A168" s="57">
        <v>132</v>
      </c>
      <c r="B168" s="58">
        <v>236</v>
      </c>
      <c r="C168" s="59" t="s">
        <v>79</v>
      </c>
      <c r="D168" s="60" t="s">
        <v>275</v>
      </c>
    </row>
    <row r="169" spans="1:4" x14ac:dyDescent="0.3">
      <c r="A169" s="57">
        <v>133</v>
      </c>
      <c r="B169" s="58">
        <v>92</v>
      </c>
      <c r="C169" s="59" t="s">
        <v>79</v>
      </c>
      <c r="D169" s="60">
        <v>1</v>
      </c>
    </row>
    <row r="170" spans="1:4" x14ac:dyDescent="0.3">
      <c r="A170" s="57">
        <v>133</v>
      </c>
      <c r="B170" s="58">
        <v>210</v>
      </c>
      <c r="C170" s="59" t="s">
        <v>79</v>
      </c>
      <c r="D170" s="60">
        <v>2</v>
      </c>
    </row>
    <row r="171" spans="1:4" x14ac:dyDescent="0.3">
      <c r="A171" s="57">
        <v>133</v>
      </c>
      <c r="B171" s="58">
        <v>233</v>
      </c>
      <c r="C171" s="59" t="s">
        <v>79</v>
      </c>
      <c r="D171" s="60">
        <v>1</v>
      </c>
    </row>
    <row r="172" spans="1:4" x14ac:dyDescent="0.3">
      <c r="A172" s="57">
        <v>133</v>
      </c>
      <c r="B172" s="58">
        <v>246</v>
      </c>
      <c r="C172" s="59" t="s">
        <v>79</v>
      </c>
      <c r="D172" s="60">
        <v>1</v>
      </c>
    </row>
    <row r="173" spans="1:4" x14ac:dyDescent="0.3">
      <c r="A173" s="57">
        <v>134</v>
      </c>
      <c r="B173" s="58">
        <v>101</v>
      </c>
      <c r="C173" s="59" t="s">
        <v>79</v>
      </c>
      <c r="D173" s="60">
        <v>1</v>
      </c>
    </row>
    <row r="174" spans="1:4" x14ac:dyDescent="0.3">
      <c r="A174" s="57">
        <v>134</v>
      </c>
      <c r="B174" s="58">
        <v>210</v>
      </c>
      <c r="C174" s="59" t="s">
        <v>79</v>
      </c>
      <c r="D174" s="60">
        <v>2</v>
      </c>
    </row>
    <row r="175" spans="1:4" x14ac:dyDescent="0.3">
      <c r="A175" s="57">
        <v>134</v>
      </c>
      <c r="B175" s="58">
        <v>232</v>
      </c>
      <c r="C175" s="59" t="s">
        <v>79</v>
      </c>
      <c r="D175" s="60">
        <v>1</v>
      </c>
    </row>
    <row r="176" spans="1:4" x14ac:dyDescent="0.3">
      <c r="A176" s="57">
        <v>134</v>
      </c>
      <c r="B176" s="58">
        <v>250</v>
      </c>
      <c r="C176" s="59" t="s">
        <v>79</v>
      </c>
      <c r="D176" s="60">
        <v>1</v>
      </c>
    </row>
    <row r="177" spans="1:4" x14ac:dyDescent="0.3">
      <c r="A177" s="57">
        <v>135</v>
      </c>
      <c r="B177" s="58">
        <v>38</v>
      </c>
      <c r="C177" s="59" t="s">
        <v>79</v>
      </c>
      <c r="D177" s="60">
        <v>1</v>
      </c>
    </row>
    <row r="178" spans="1:4" x14ac:dyDescent="0.3">
      <c r="A178" s="57">
        <v>135</v>
      </c>
      <c r="B178" s="58">
        <v>80</v>
      </c>
      <c r="C178" s="59" t="s">
        <v>79</v>
      </c>
      <c r="D178" s="60">
        <v>1</v>
      </c>
    </row>
    <row r="179" spans="1:4" x14ac:dyDescent="0.3">
      <c r="A179" s="57">
        <v>135</v>
      </c>
      <c r="B179" s="58">
        <v>221</v>
      </c>
      <c r="C179" s="59" t="s">
        <v>79</v>
      </c>
      <c r="D179" s="60" t="s">
        <v>278</v>
      </c>
    </row>
    <row r="180" spans="1:4" x14ac:dyDescent="0.3">
      <c r="A180" s="57">
        <v>135</v>
      </c>
      <c r="B180" s="58">
        <v>247</v>
      </c>
      <c r="C180" s="59" t="s">
        <v>79</v>
      </c>
      <c r="D180" s="60">
        <v>1</v>
      </c>
    </row>
    <row r="181" spans="1:4" x14ac:dyDescent="0.3">
      <c r="A181" s="57">
        <v>136</v>
      </c>
      <c r="B181" s="58">
        <v>124</v>
      </c>
      <c r="C181" s="59" t="s">
        <v>79</v>
      </c>
      <c r="D181" s="60">
        <v>1</v>
      </c>
    </row>
    <row r="182" spans="1:4" x14ac:dyDescent="0.3">
      <c r="A182" s="57">
        <v>136</v>
      </c>
      <c r="B182" s="58">
        <v>202</v>
      </c>
      <c r="C182" s="59" t="s">
        <v>79</v>
      </c>
      <c r="D182" s="60">
        <v>1</v>
      </c>
    </row>
    <row r="183" spans="1:4" x14ac:dyDescent="0.3">
      <c r="A183" s="57">
        <v>136</v>
      </c>
      <c r="B183" s="58">
        <v>222</v>
      </c>
      <c r="C183" s="59" t="s">
        <v>79</v>
      </c>
      <c r="D183" s="60">
        <v>2</v>
      </c>
    </row>
    <row r="184" spans="1:4" x14ac:dyDescent="0.3">
      <c r="A184" s="57">
        <v>136</v>
      </c>
      <c r="B184" s="58">
        <v>246</v>
      </c>
      <c r="C184" s="59" t="s">
        <v>79</v>
      </c>
      <c r="D184" s="60">
        <v>1</v>
      </c>
    </row>
    <row r="185" spans="1:4" x14ac:dyDescent="0.3">
      <c r="A185" s="57">
        <v>137</v>
      </c>
      <c r="B185" s="58">
        <v>203</v>
      </c>
      <c r="C185" s="59" t="s">
        <v>79</v>
      </c>
      <c r="D185" s="60" t="s">
        <v>80</v>
      </c>
    </row>
    <row r="186" spans="1:4" x14ac:dyDescent="0.3">
      <c r="A186" s="57">
        <v>137</v>
      </c>
      <c r="B186" s="58">
        <v>222</v>
      </c>
      <c r="C186" s="59" t="s">
        <v>79</v>
      </c>
      <c r="D186" s="60" t="s">
        <v>80</v>
      </c>
    </row>
    <row r="187" spans="1:4" x14ac:dyDescent="0.3">
      <c r="A187" s="57">
        <v>137</v>
      </c>
      <c r="B187" s="58">
        <v>223</v>
      </c>
      <c r="C187" s="59" t="s">
        <v>79</v>
      </c>
      <c r="D187" s="60" t="s">
        <v>80</v>
      </c>
    </row>
    <row r="188" spans="1:4" x14ac:dyDescent="0.3">
      <c r="A188" s="57">
        <v>137</v>
      </c>
      <c r="B188" s="58">
        <v>229</v>
      </c>
      <c r="C188" s="59" t="s">
        <v>79</v>
      </c>
      <c r="D188" s="60" t="s">
        <v>80</v>
      </c>
    </row>
    <row r="189" spans="1:4" x14ac:dyDescent="0.3">
      <c r="A189" s="57">
        <v>138</v>
      </c>
      <c r="B189" s="58">
        <v>5</v>
      </c>
      <c r="C189" s="59" t="s">
        <v>79</v>
      </c>
      <c r="D189" s="60" t="s">
        <v>275</v>
      </c>
    </row>
    <row r="190" spans="1:4" x14ac:dyDescent="0.3">
      <c r="A190" s="57">
        <v>138</v>
      </c>
      <c r="B190" s="58">
        <v>88</v>
      </c>
      <c r="C190" s="59" t="s">
        <v>79</v>
      </c>
      <c r="D190" s="60" t="s">
        <v>275</v>
      </c>
    </row>
    <row r="191" spans="1:4" x14ac:dyDescent="0.3">
      <c r="A191" s="57">
        <v>138</v>
      </c>
      <c r="B191" s="58">
        <v>208</v>
      </c>
      <c r="C191" s="59" t="s">
        <v>79</v>
      </c>
      <c r="D191" s="60">
        <v>2</v>
      </c>
    </row>
    <row r="192" spans="1:4" x14ac:dyDescent="0.3">
      <c r="A192" s="57">
        <v>138</v>
      </c>
      <c r="B192" s="58">
        <v>235</v>
      </c>
      <c r="C192" s="59" t="s">
        <v>79</v>
      </c>
      <c r="D192" s="60" t="s">
        <v>275</v>
      </c>
    </row>
    <row r="193" spans="1:4" x14ac:dyDescent="0.3">
      <c r="A193" s="57">
        <v>140</v>
      </c>
      <c r="B193" s="58">
        <v>1395</v>
      </c>
      <c r="C193" s="59" t="s">
        <v>63</v>
      </c>
      <c r="D193" s="60">
        <v>2</v>
      </c>
    </row>
    <row r="194" spans="1:4" x14ac:dyDescent="0.3">
      <c r="A194" s="57">
        <v>140</v>
      </c>
      <c r="B194" s="58">
        <v>1396</v>
      </c>
      <c r="C194" s="59" t="s">
        <v>63</v>
      </c>
      <c r="D194" s="60">
        <v>1</v>
      </c>
    </row>
    <row r="195" spans="1:4" x14ac:dyDescent="0.3">
      <c r="A195" s="57">
        <v>141</v>
      </c>
      <c r="B195" s="58">
        <v>189</v>
      </c>
      <c r="C195" s="59" t="s">
        <v>81</v>
      </c>
      <c r="D195" s="60">
        <v>1</v>
      </c>
    </row>
    <row r="196" spans="1:4" x14ac:dyDescent="0.3">
      <c r="A196" s="57">
        <v>141</v>
      </c>
      <c r="B196" s="58">
        <v>210</v>
      </c>
      <c r="C196" s="59" t="s">
        <v>81</v>
      </c>
      <c r="D196" s="60">
        <v>2</v>
      </c>
    </row>
    <row r="197" spans="1:4" x14ac:dyDescent="0.3">
      <c r="A197" s="57">
        <v>141</v>
      </c>
      <c r="B197" s="58">
        <v>233</v>
      </c>
      <c r="C197" s="59" t="s">
        <v>81</v>
      </c>
      <c r="D197" s="60">
        <v>1</v>
      </c>
    </row>
    <row r="198" spans="1:4" x14ac:dyDescent="0.3">
      <c r="A198" s="57">
        <v>141</v>
      </c>
      <c r="B198" s="58">
        <v>249</v>
      </c>
      <c r="C198" s="59" t="s">
        <v>81</v>
      </c>
      <c r="D198" s="60">
        <v>1</v>
      </c>
    </row>
    <row r="199" spans="1:4" x14ac:dyDescent="0.3">
      <c r="A199" s="57">
        <v>141</v>
      </c>
      <c r="B199" s="58">
        <v>252</v>
      </c>
      <c r="C199" s="59" t="s">
        <v>81</v>
      </c>
      <c r="D199" s="60">
        <v>1</v>
      </c>
    </row>
    <row r="200" spans="1:4" x14ac:dyDescent="0.3">
      <c r="A200" s="57">
        <v>142</v>
      </c>
      <c r="B200" s="58">
        <v>132</v>
      </c>
      <c r="C200" s="59" t="s">
        <v>81</v>
      </c>
      <c r="D200" s="60">
        <v>1</v>
      </c>
    </row>
    <row r="201" spans="1:4" x14ac:dyDescent="0.3">
      <c r="A201" s="57">
        <v>142</v>
      </c>
      <c r="B201" s="58">
        <v>206</v>
      </c>
      <c r="C201" s="59" t="s">
        <v>81</v>
      </c>
      <c r="D201" s="60">
        <v>2</v>
      </c>
    </row>
    <row r="202" spans="1:4" x14ac:dyDescent="0.3">
      <c r="A202" s="57">
        <v>142</v>
      </c>
      <c r="B202" s="58">
        <v>230</v>
      </c>
      <c r="C202" s="59" t="s">
        <v>81</v>
      </c>
      <c r="D202" s="60">
        <v>1</v>
      </c>
    </row>
    <row r="203" spans="1:4" x14ac:dyDescent="0.3">
      <c r="A203" s="57">
        <v>142</v>
      </c>
      <c r="B203" s="58">
        <v>249</v>
      </c>
      <c r="C203" s="59" t="s">
        <v>81</v>
      </c>
      <c r="D203" s="60">
        <v>1</v>
      </c>
    </row>
    <row r="204" spans="1:4" x14ac:dyDescent="0.3">
      <c r="A204" s="57">
        <v>142</v>
      </c>
      <c r="B204" s="58">
        <v>252</v>
      </c>
      <c r="C204" s="59" t="s">
        <v>81</v>
      </c>
      <c r="D204" s="60">
        <v>1</v>
      </c>
    </row>
    <row r="205" spans="1:4" x14ac:dyDescent="0.3">
      <c r="A205" s="57">
        <v>143</v>
      </c>
      <c r="B205" s="58">
        <v>47</v>
      </c>
      <c r="C205" s="59" t="s">
        <v>66</v>
      </c>
      <c r="D205" s="60" t="s">
        <v>37</v>
      </c>
    </row>
    <row r="206" spans="1:4" x14ac:dyDescent="0.3">
      <c r="A206" s="57">
        <v>144</v>
      </c>
      <c r="B206" s="58">
        <v>93</v>
      </c>
      <c r="C206" s="59" t="s">
        <v>82</v>
      </c>
      <c r="D206" s="60">
        <v>1</v>
      </c>
    </row>
    <row r="207" spans="1:4" x14ac:dyDescent="0.3">
      <c r="A207" s="57">
        <v>144</v>
      </c>
      <c r="B207" s="58">
        <v>208</v>
      </c>
      <c r="C207" s="59" t="s">
        <v>82</v>
      </c>
      <c r="D207" s="60">
        <v>2</v>
      </c>
    </row>
    <row r="208" spans="1:4" x14ac:dyDescent="0.3">
      <c r="A208" s="57">
        <v>144</v>
      </c>
      <c r="B208" s="58">
        <v>239</v>
      </c>
      <c r="C208" s="59" t="s">
        <v>82</v>
      </c>
      <c r="D208" s="60">
        <v>1</v>
      </c>
    </row>
    <row r="209" spans="1:4" x14ac:dyDescent="0.3">
      <c r="A209" s="57">
        <v>144</v>
      </c>
      <c r="B209" s="58">
        <v>243</v>
      </c>
      <c r="C209" s="59" t="s">
        <v>82</v>
      </c>
      <c r="D209" s="60">
        <v>1</v>
      </c>
    </row>
    <row r="210" spans="1:4" x14ac:dyDescent="0.3">
      <c r="A210" s="57">
        <v>144</v>
      </c>
      <c r="B210" s="58">
        <v>248</v>
      </c>
      <c r="C210" s="59" t="s">
        <v>82</v>
      </c>
      <c r="D210" s="60">
        <v>1</v>
      </c>
    </row>
    <row r="211" spans="1:4" x14ac:dyDescent="0.3">
      <c r="A211" s="57">
        <v>144</v>
      </c>
      <c r="B211" s="58">
        <v>251</v>
      </c>
      <c r="C211" s="59" t="s">
        <v>82</v>
      </c>
      <c r="D211" s="60">
        <v>1</v>
      </c>
    </row>
    <row r="212" spans="1:4" x14ac:dyDescent="0.3">
      <c r="A212" s="57">
        <v>145</v>
      </c>
      <c r="B212" s="58">
        <v>210</v>
      </c>
      <c r="C212" s="59" t="s">
        <v>82</v>
      </c>
      <c r="D212" s="60">
        <v>2</v>
      </c>
    </row>
    <row r="213" spans="1:4" x14ac:dyDescent="0.3">
      <c r="A213" s="57">
        <v>145</v>
      </c>
      <c r="B213" s="58">
        <v>249</v>
      </c>
      <c r="C213" s="59" t="s">
        <v>82</v>
      </c>
      <c r="D213" s="60">
        <v>1</v>
      </c>
    </row>
    <row r="214" spans="1:4" x14ac:dyDescent="0.3">
      <c r="A214" s="57">
        <v>145</v>
      </c>
      <c r="B214" s="58">
        <v>92</v>
      </c>
      <c r="C214" s="59" t="s">
        <v>82</v>
      </c>
      <c r="D214" s="60" t="s">
        <v>275</v>
      </c>
    </row>
    <row r="215" spans="1:4" x14ac:dyDescent="0.3">
      <c r="A215" s="57">
        <v>145</v>
      </c>
      <c r="B215" s="58">
        <v>240</v>
      </c>
      <c r="C215" s="59" t="s">
        <v>82</v>
      </c>
      <c r="D215" s="60" t="s">
        <v>275</v>
      </c>
    </row>
    <row r="216" spans="1:4" x14ac:dyDescent="0.3">
      <c r="A216" s="57">
        <v>145</v>
      </c>
      <c r="B216" s="58">
        <v>244</v>
      </c>
      <c r="C216" s="59" t="s">
        <v>82</v>
      </c>
      <c r="D216" s="60" t="s">
        <v>275</v>
      </c>
    </row>
    <row r="217" spans="1:4" x14ac:dyDescent="0.3">
      <c r="A217" s="57">
        <v>145</v>
      </c>
      <c r="B217" s="58">
        <v>252</v>
      </c>
      <c r="C217" s="59" t="s">
        <v>82</v>
      </c>
      <c r="D217" s="60">
        <v>1</v>
      </c>
    </row>
    <row r="218" spans="1:4" x14ac:dyDescent="0.3">
      <c r="A218" s="57">
        <v>146</v>
      </c>
      <c r="B218" s="58">
        <v>73</v>
      </c>
      <c r="C218" s="59" t="s">
        <v>82</v>
      </c>
      <c r="D218" s="60">
        <v>1</v>
      </c>
    </row>
    <row r="219" spans="1:4" x14ac:dyDescent="0.3">
      <c r="A219" s="57">
        <v>146</v>
      </c>
      <c r="B219" s="58">
        <v>93</v>
      </c>
      <c r="C219" s="59" t="s">
        <v>82</v>
      </c>
      <c r="D219" s="60">
        <v>1</v>
      </c>
    </row>
    <row r="220" spans="1:4" x14ac:dyDescent="0.3">
      <c r="A220" s="57">
        <v>146</v>
      </c>
      <c r="B220" s="58">
        <v>208</v>
      </c>
      <c r="C220" s="59" t="s">
        <v>82</v>
      </c>
      <c r="D220" s="60">
        <v>2</v>
      </c>
    </row>
    <row r="221" spans="1:4" x14ac:dyDescent="0.3">
      <c r="A221" s="57">
        <v>146</v>
      </c>
      <c r="B221" s="58">
        <v>239</v>
      </c>
      <c r="C221" s="59" t="s">
        <v>82</v>
      </c>
      <c r="D221" s="60">
        <v>1</v>
      </c>
    </row>
    <row r="222" spans="1:4" x14ac:dyDescent="0.3">
      <c r="A222" s="57">
        <v>146</v>
      </c>
      <c r="B222" s="58">
        <v>248</v>
      </c>
      <c r="C222" s="59" t="s">
        <v>82</v>
      </c>
      <c r="D222" s="60">
        <v>1</v>
      </c>
    </row>
    <row r="223" spans="1:4" x14ac:dyDescent="0.3">
      <c r="A223" s="57">
        <v>146</v>
      </c>
      <c r="B223" s="58">
        <v>251</v>
      </c>
      <c r="C223" s="59" t="s">
        <v>82</v>
      </c>
      <c r="D223" s="60">
        <v>1</v>
      </c>
    </row>
    <row r="224" spans="1:4" x14ac:dyDescent="0.3">
      <c r="A224" s="57">
        <v>147</v>
      </c>
      <c r="B224" s="58">
        <v>99</v>
      </c>
      <c r="C224" s="59" t="s">
        <v>82</v>
      </c>
      <c r="D224" s="60">
        <v>1</v>
      </c>
    </row>
    <row r="225" spans="1:4" x14ac:dyDescent="0.3">
      <c r="A225" s="57">
        <v>147</v>
      </c>
      <c r="B225" s="58">
        <v>206</v>
      </c>
      <c r="C225" s="59" t="s">
        <v>82</v>
      </c>
      <c r="D225" s="60">
        <v>2</v>
      </c>
    </row>
    <row r="226" spans="1:4" x14ac:dyDescent="0.3">
      <c r="A226" s="57">
        <v>147</v>
      </c>
      <c r="B226" s="58">
        <v>238</v>
      </c>
      <c r="C226" s="59" t="s">
        <v>82</v>
      </c>
      <c r="D226" s="60">
        <v>1</v>
      </c>
    </row>
    <row r="227" spans="1:4" x14ac:dyDescent="0.3">
      <c r="A227" s="57">
        <v>147</v>
      </c>
      <c r="B227" s="58">
        <v>242</v>
      </c>
      <c r="C227" s="59" t="s">
        <v>82</v>
      </c>
      <c r="D227" s="60">
        <v>1</v>
      </c>
    </row>
    <row r="228" spans="1:4" x14ac:dyDescent="0.3">
      <c r="A228" s="57">
        <v>147</v>
      </c>
      <c r="B228" s="58">
        <v>249</v>
      </c>
      <c r="C228" s="59" t="s">
        <v>82</v>
      </c>
      <c r="D228" s="60">
        <v>1</v>
      </c>
    </row>
    <row r="229" spans="1:4" x14ac:dyDescent="0.3">
      <c r="A229" s="57">
        <v>147</v>
      </c>
      <c r="B229" s="58">
        <v>252</v>
      </c>
      <c r="C229" s="59" t="s">
        <v>82</v>
      </c>
      <c r="D229" s="60">
        <v>1</v>
      </c>
    </row>
    <row r="230" spans="1:4" x14ac:dyDescent="0.3">
      <c r="A230" s="57">
        <v>148</v>
      </c>
      <c r="B230" s="58">
        <v>1152</v>
      </c>
      <c r="C230" s="59" t="s">
        <v>83</v>
      </c>
      <c r="D230" s="60" t="s">
        <v>278</v>
      </c>
    </row>
    <row r="231" spans="1:4" x14ac:dyDescent="0.3">
      <c r="A231" s="57">
        <v>149</v>
      </c>
      <c r="B231" s="58">
        <v>1394</v>
      </c>
      <c r="C231" s="59" t="s">
        <v>84</v>
      </c>
      <c r="D231" s="60">
        <v>2</v>
      </c>
    </row>
    <row r="232" spans="1:4" x14ac:dyDescent="0.3">
      <c r="A232" s="57">
        <v>150</v>
      </c>
      <c r="B232" s="58">
        <v>42</v>
      </c>
      <c r="C232" s="59" t="s">
        <v>75</v>
      </c>
      <c r="D232" s="60">
        <v>1</v>
      </c>
    </row>
    <row r="233" spans="1:4" x14ac:dyDescent="0.3">
      <c r="A233" s="57">
        <v>150</v>
      </c>
      <c r="B233" s="58">
        <v>207</v>
      </c>
      <c r="C233" s="59" t="s">
        <v>75</v>
      </c>
      <c r="D233" s="60">
        <v>2</v>
      </c>
    </row>
    <row r="234" spans="1:4" x14ac:dyDescent="0.3">
      <c r="A234" s="57">
        <v>151</v>
      </c>
      <c r="B234" s="58">
        <v>43</v>
      </c>
      <c r="C234" s="59" t="s">
        <v>75</v>
      </c>
      <c r="D234" s="60">
        <v>1</v>
      </c>
    </row>
    <row r="235" spans="1:4" x14ac:dyDescent="0.3">
      <c r="A235" s="57">
        <v>151</v>
      </c>
      <c r="B235" s="58">
        <v>210</v>
      </c>
      <c r="C235" s="59" t="s">
        <v>75</v>
      </c>
      <c r="D235" s="60" t="s">
        <v>278</v>
      </c>
    </row>
    <row r="236" spans="1:4" x14ac:dyDescent="0.3">
      <c r="A236" s="57">
        <v>152</v>
      </c>
      <c r="B236" s="58">
        <v>45</v>
      </c>
      <c r="C236" s="59" t="s">
        <v>75</v>
      </c>
      <c r="D236" s="60">
        <v>1</v>
      </c>
    </row>
    <row r="237" spans="1:4" x14ac:dyDescent="0.3">
      <c r="A237" s="57">
        <v>152</v>
      </c>
      <c r="B237" s="58">
        <v>211</v>
      </c>
      <c r="C237" s="59" t="s">
        <v>75</v>
      </c>
      <c r="D237" s="60">
        <v>2</v>
      </c>
    </row>
    <row r="238" spans="1:4" x14ac:dyDescent="0.3">
      <c r="A238" s="57">
        <v>153</v>
      </c>
      <c r="B238" s="58">
        <v>46</v>
      </c>
      <c r="C238" s="59" t="s">
        <v>75</v>
      </c>
      <c r="D238" s="60">
        <v>1</v>
      </c>
    </row>
    <row r="239" spans="1:4" x14ac:dyDescent="0.3">
      <c r="A239" s="57">
        <v>153</v>
      </c>
      <c r="B239" s="58">
        <v>212</v>
      </c>
      <c r="C239" s="59" t="s">
        <v>75</v>
      </c>
      <c r="D239" s="60">
        <v>2</v>
      </c>
    </row>
    <row r="240" spans="1:4" x14ac:dyDescent="0.3">
      <c r="A240" s="57">
        <v>154</v>
      </c>
      <c r="B240" s="58">
        <v>39</v>
      </c>
      <c r="C240" s="59" t="s">
        <v>75</v>
      </c>
      <c r="D240" s="60">
        <v>1</v>
      </c>
    </row>
    <row r="241" spans="1:4" x14ac:dyDescent="0.3">
      <c r="A241" s="57">
        <v>154</v>
      </c>
      <c r="B241" s="58">
        <v>221</v>
      </c>
      <c r="C241" s="59" t="s">
        <v>75</v>
      </c>
      <c r="D241" s="60">
        <v>2</v>
      </c>
    </row>
    <row r="242" spans="1:4" x14ac:dyDescent="0.3">
      <c r="A242" s="57">
        <v>155</v>
      </c>
      <c r="B242" s="58">
        <v>51</v>
      </c>
      <c r="C242" s="59" t="s">
        <v>63</v>
      </c>
      <c r="D242" s="60" t="s">
        <v>275</v>
      </c>
    </row>
    <row r="243" spans="1:4" x14ac:dyDescent="0.3">
      <c r="A243" s="57">
        <v>155</v>
      </c>
      <c r="B243" s="58">
        <v>200</v>
      </c>
      <c r="C243" s="59" t="s">
        <v>63</v>
      </c>
      <c r="D243" s="60" t="s">
        <v>275</v>
      </c>
    </row>
    <row r="244" spans="1:4" x14ac:dyDescent="0.3">
      <c r="A244" s="57">
        <v>156</v>
      </c>
      <c r="B244" s="58">
        <v>1000</v>
      </c>
      <c r="C244" s="59" t="s">
        <v>75</v>
      </c>
      <c r="D244" s="60">
        <v>2</v>
      </c>
    </row>
    <row r="245" spans="1:4" x14ac:dyDescent="0.3">
      <c r="A245" s="57">
        <v>156</v>
      </c>
      <c r="B245" s="58">
        <v>1001</v>
      </c>
      <c r="C245" s="59" t="s">
        <v>75</v>
      </c>
      <c r="D245" s="60">
        <v>1</v>
      </c>
    </row>
    <row r="246" spans="1:4" x14ac:dyDescent="0.3">
      <c r="A246" s="57">
        <v>157</v>
      </c>
      <c r="B246" s="58">
        <v>1002</v>
      </c>
      <c r="C246" s="59" t="s">
        <v>75</v>
      </c>
      <c r="D246" s="60">
        <v>2</v>
      </c>
    </row>
    <row r="247" spans="1:4" x14ac:dyDescent="0.3">
      <c r="A247" s="57">
        <v>157</v>
      </c>
      <c r="B247" s="58">
        <v>1003</v>
      </c>
      <c r="C247" s="59" t="s">
        <v>75</v>
      </c>
      <c r="D247" s="60">
        <v>1</v>
      </c>
    </row>
    <row r="248" spans="1:4" x14ac:dyDescent="0.3">
      <c r="A248" s="57">
        <v>158</v>
      </c>
      <c r="B248" s="58">
        <v>1008</v>
      </c>
      <c r="C248" s="59" t="s">
        <v>75</v>
      </c>
      <c r="D248" s="60">
        <v>2</v>
      </c>
    </row>
    <row r="249" spans="1:4" x14ac:dyDescent="0.3">
      <c r="A249" s="57">
        <v>158</v>
      </c>
      <c r="B249" s="58">
        <v>1009</v>
      </c>
      <c r="C249" s="59" t="s">
        <v>75</v>
      </c>
      <c r="D249" s="60">
        <v>1</v>
      </c>
    </row>
    <row r="250" spans="1:4" x14ac:dyDescent="0.3">
      <c r="A250" s="57">
        <v>159</v>
      </c>
      <c r="B250" s="58">
        <v>28</v>
      </c>
      <c r="C250" s="59" t="s">
        <v>51</v>
      </c>
      <c r="D250" s="60" t="s">
        <v>277</v>
      </c>
    </row>
    <row r="251" spans="1:4" x14ac:dyDescent="0.3">
      <c r="A251" s="57">
        <v>160</v>
      </c>
      <c r="B251" s="58">
        <v>1014</v>
      </c>
      <c r="C251" s="59" t="s">
        <v>75</v>
      </c>
      <c r="D251" s="60">
        <v>2</v>
      </c>
    </row>
    <row r="252" spans="1:4" x14ac:dyDescent="0.3">
      <c r="A252" s="57">
        <v>160</v>
      </c>
      <c r="B252" s="58">
        <v>1015</v>
      </c>
      <c r="C252" s="59" t="s">
        <v>75</v>
      </c>
      <c r="D252" s="60">
        <v>1</v>
      </c>
    </row>
    <row r="253" spans="1:4" x14ac:dyDescent="0.3">
      <c r="A253" s="57">
        <v>161</v>
      </c>
      <c r="B253" s="58">
        <v>1018</v>
      </c>
      <c r="C253" s="59" t="s">
        <v>75</v>
      </c>
      <c r="D253" s="60">
        <v>2</v>
      </c>
    </row>
    <row r="254" spans="1:4" x14ac:dyDescent="0.3">
      <c r="A254" s="57">
        <v>161</v>
      </c>
      <c r="B254" s="58">
        <v>1019</v>
      </c>
      <c r="C254" s="59" t="s">
        <v>75</v>
      </c>
      <c r="D254" s="60">
        <v>1</v>
      </c>
    </row>
    <row r="255" spans="1:4" x14ac:dyDescent="0.3">
      <c r="A255" s="57">
        <v>162</v>
      </c>
      <c r="B255" s="58">
        <v>1020</v>
      </c>
      <c r="C255" s="59" t="s">
        <v>75</v>
      </c>
      <c r="D255" s="60">
        <v>2</v>
      </c>
    </row>
    <row r="256" spans="1:4" x14ac:dyDescent="0.3">
      <c r="A256" s="57">
        <v>162</v>
      </c>
      <c r="B256" s="58">
        <v>1021</v>
      </c>
      <c r="C256" s="59" t="s">
        <v>75</v>
      </c>
      <c r="D256" s="60">
        <v>1</v>
      </c>
    </row>
    <row r="257" spans="1:4" x14ac:dyDescent="0.3">
      <c r="A257" s="57">
        <v>163</v>
      </c>
      <c r="B257" s="58">
        <v>1034</v>
      </c>
      <c r="C257" s="59" t="s">
        <v>75</v>
      </c>
      <c r="D257" s="60">
        <v>2</v>
      </c>
    </row>
    <row r="258" spans="1:4" x14ac:dyDescent="0.3">
      <c r="A258" s="57">
        <v>163</v>
      </c>
      <c r="B258" s="58">
        <v>1035</v>
      </c>
      <c r="C258" s="59" t="s">
        <v>75</v>
      </c>
      <c r="D258" s="60">
        <v>1</v>
      </c>
    </row>
    <row r="259" spans="1:4" x14ac:dyDescent="0.3">
      <c r="A259" s="57">
        <v>164</v>
      </c>
      <c r="B259" s="58">
        <v>1037</v>
      </c>
      <c r="C259" s="59" t="s">
        <v>75</v>
      </c>
      <c r="D259" s="60">
        <v>2</v>
      </c>
    </row>
    <row r="260" spans="1:4" x14ac:dyDescent="0.3">
      <c r="A260" s="57">
        <v>164</v>
      </c>
      <c r="B260" s="58">
        <v>1038</v>
      </c>
      <c r="C260" s="59" t="s">
        <v>75</v>
      </c>
      <c r="D260" s="60">
        <v>1</v>
      </c>
    </row>
    <row r="261" spans="1:4" x14ac:dyDescent="0.3">
      <c r="A261" s="57">
        <v>165</v>
      </c>
      <c r="B261" s="58">
        <v>1039</v>
      </c>
      <c r="C261" s="59" t="s">
        <v>75</v>
      </c>
      <c r="D261" s="60">
        <v>2</v>
      </c>
    </row>
    <row r="262" spans="1:4" x14ac:dyDescent="0.3">
      <c r="A262" s="57">
        <v>165</v>
      </c>
      <c r="B262" s="58">
        <v>1040</v>
      </c>
      <c r="C262" s="59" t="s">
        <v>75</v>
      </c>
      <c r="D262" s="60">
        <v>1</v>
      </c>
    </row>
    <row r="263" spans="1:4" x14ac:dyDescent="0.3">
      <c r="A263" s="57">
        <v>166</v>
      </c>
      <c r="B263" s="58">
        <v>1048</v>
      </c>
      <c r="C263" s="59" t="s">
        <v>75</v>
      </c>
      <c r="D263" s="60">
        <v>2</v>
      </c>
    </row>
    <row r="264" spans="1:4" x14ac:dyDescent="0.3">
      <c r="A264" s="57">
        <v>166</v>
      </c>
      <c r="B264" s="58">
        <v>1049</v>
      </c>
      <c r="C264" s="59" t="s">
        <v>75</v>
      </c>
      <c r="D264" s="60">
        <v>1</v>
      </c>
    </row>
    <row r="265" spans="1:4" x14ac:dyDescent="0.3">
      <c r="A265" s="57">
        <v>167</v>
      </c>
      <c r="B265" s="58">
        <v>1055</v>
      </c>
      <c r="C265" s="59" t="s">
        <v>75</v>
      </c>
      <c r="D265" s="60">
        <v>1</v>
      </c>
    </row>
    <row r="266" spans="1:4" x14ac:dyDescent="0.3">
      <c r="A266" s="57">
        <v>167</v>
      </c>
      <c r="B266" s="58">
        <v>1056</v>
      </c>
      <c r="C266" s="59" t="s">
        <v>75</v>
      </c>
      <c r="D266" s="60">
        <v>2</v>
      </c>
    </row>
    <row r="267" spans="1:4" x14ac:dyDescent="0.3">
      <c r="A267" s="57">
        <v>168</v>
      </c>
      <c r="B267" s="58">
        <v>1057</v>
      </c>
      <c r="C267" s="59" t="s">
        <v>75</v>
      </c>
      <c r="D267" s="60">
        <v>1</v>
      </c>
    </row>
    <row r="268" spans="1:4" x14ac:dyDescent="0.3">
      <c r="A268" s="57">
        <v>168</v>
      </c>
      <c r="B268" s="58">
        <v>1058</v>
      </c>
      <c r="C268" s="59" t="s">
        <v>75</v>
      </c>
      <c r="D268" s="60">
        <v>2</v>
      </c>
    </row>
    <row r="269" spans="1:4" x14ac:dyDescent="0.3">
      <c r="A269" s="57">
        <v>169</v>
      </c>
      <c r="B269" s="58">
        <v>1059</v>
      </c>
      <c r="C269" s="59" t="s">
        <v>75</v>
      </c>
      <c r="D269" s="60">
        <v>1</v>
      </c>
    </row>
    <row r="270" spans="1:4" x14ac:dyDescent="0.3">
      <c r="A270" s="57">
        <v>169</v>
      </c>
      <c r="B270" s="58">
        <v>1060</v>
      </c>
      <c r="C270" s="59" t="s">
        <v>75</v>
      </c>
      <c r="D270" s="60">
        <v>2</v>
      </c>
    </row>
    <row r="271" spans="1:4" x14ac:dyDescent="0.3">
      <c r="A271" s="57">
        <v>170</v>
      </c>
      <c r="B271" s="58">
        <v>1061</v>
      </c>
      <c r="C271" s="59" t="s">
        <v>75</v>
      </c>
      <c r="D271" s="60">
        <v>1</v>
      </c>
    </row>
    <row r="272" spans="1:4" x14ac:dyDescent="0.3">
      <c r="A272" s="57">
        <v>170</v>
      </c>
      <c r="B272" s="58">
        <v>1062</v>
      </c>
      <c r="C272" s="59" t="s">
        <v>75</v>
      </c>
      <c r="D272" s="60">
        <v>2</v>
      </c>
    </row>
    <row r="273" spans="1:4" x14ac:dyDescent="0.3">
      <c r="A273" s="57">
        <v>171</v>
      </c>
      <c r="B273" s="58">
        <v>1063</v>
      </c>
      <c r="C273" s="59" t="s">
        <v>75</v>
      </c>
      <c r="D273" s="60">
        <v>1</v>
      </c>
    </row>
    <row r="274" spans="1:4" x14ac:dyDescent="0.3">
      <c r="A274" s="57">
        <v>171</v>
      </c>
      <c r="B274" s="58">
        <v>1064</v>
      </c>
      <c r="C274" s="59" t="s">
        <v>75</v>
      </c>
      <c r="D274" s="60">
        <v>2</v>
      </c>
    </row>
    <row r="275" spans="1:4" x14ac:dyDescent="0.3">
      <c r="A275" s="57">
        <v>172</v>
      </c>
      <c r="B275" s="58">
        <v>1065</v>
      </c>
      <c r="C275" s="59" t="s">
        <v>75</v>
      </c>
      <c r="D275" s="60">
        <v>1</v>
      </c>
    </row>
    <row r="276" spans="1:4" x14ac:dyDescent="0.3">
      <c r="A276" s="57">
        <v>172</v>
      </c>
      <c r="B276" s="58">
        <v>1066</v>
      </c>
      <c r="C276" s="59" t="s">
        <v>75</v>
      </c>
      <c r="D276" s="60">
        <v>2</v>
      </c>
    </row>
    <row r="277" spans="1:4" x14ac:dyDescent="0.3">
      <c r="A277" s="57">
        <v>173</v>
      </c>
      <c r="B277" s="58">
        <v>1067</v>
      </c>
      <c r="C277" s="59" t="s">
        <v>75</v>
      </c>
      <c r="D277" s="60">
        <v>1</v>
      </c>
    </row>
    <row r="278" spans="1:4" x14ac:dyDescent="0.3">
      <c r="A278" s="57">
        <v>173</v>
      </c>
      <c r="B278" s="58">
        <v>1068</v>
      </c>
      <c r="C278" s="59" t="s">
        <v>75</v>
      </c>
      <c r="D278" s="60">
        <v>2</v>
      </c>
    </row>
    <row r="279" spans="1:4" x14ac:dyDescent="0.3">
      <c r="A279" s="57">
        <v>174</v>
      </c>
      <c r="B279" s="58">
        <v>1071</v>
      </c>
      <c r="C279" s="59" t="s">
        <v>75</v>
      </c>
      <c r="D279" s="60">
        <v>1</v>
      </c>
    </row>
    <row r="280" spans="1:4" x14ac:dyDescent="0.3">
      <c r="A280" s="57">
        <v>174</v>
      </c>
      <c r="B280" s="58">
        <v>1072</v>
      </c>
      <c r="C280" s="59" t="s">
        <v>75</v>
      </c>
      <c r="D280" s="60">
        <v>2</v>
      </c>
    </row>
    <row r="281" spans="1:4" x14ac:dyDescent="0.3">
      <c r="A281" s="57">
        <v>175</v>
      </c>
      <c r="B281" s="58">
        <v>1078</v>
      </c>
      <c r="C281" s="59" t="s">
        <v>75</v>
      </c>
      <c r="D281" s="60">
        <v>1</v>
      </c>
    </row>
    <row r="282" spans="1:4" x14ac:dyDescent="0.3">
      <c r="A282" s="57">
        <v>175</v>
      </c>
      <c r="B282" s="58">
        <v>1079</v>
      </c>
      <c r="C282" s="59" t="s">
        <v>75</v>
      </c>
      <c r="D282" s="60">
        <v>2</v>
      </c>
    </row>
    <row r="283" spans="1:4" x14ac:dyDescent="0.3">
      <c r="A283" s="57">
        <v>176</v>
      </c>
      <c r="B283" s="58">
        <v>1124</v>
      </c>
      <c r="C283" s="59" t="s">
        <v>75</v>
      </c>
      <c r="D283" s="60">
        <v>1</v>
      </c>
    </row>
    <row r="284" spans="1:4" x14ac:dyDescent="0.3">
      <c r="A284" s="57">
        <v>176</v>
      </c>
      <c r="B284" s="58">
        <v>1125</v>
      </c>
      <c r="C284" s="59" t="s">
        <v>75</v>
      </c>
      <c r="D284" s="60">
        <v>2</v>
      </c>
    </row>
    <row r="285" spans="1:4" x14ac:dyDescent="0.3">
      <c r="A285" s="57">
        <v>177</v>
      </c>
      <c r="B285" s="58">
        <v>1126</v>
      </c>
      <c r="C285" s="59" t="s">
        <v>75</v>
      </c>
      <c r="D285" s="60">
        <v>1</v>
      </c>
    </row>
    <row r="286" spans="1:4" x14ac:dyDescent="0.3">
      <c r="A286" s="57">
        <v>177</v>
      </c>
      <c r="B286" s="58">
        <v>1127</v>
      </c>
      <c r="C286" s="59" t="s">
        <v>75</v>
      </c>
      <c r="D286" s="60">
        <v>2</v>
      </c>
    </row>
    <row r="287" spans="1:4" x14ac:dyDescent="0.3">
      <c r="A287" s="57">
        <v>178</v>
      </c>
      <c r="B287" s="58">
        <v>1128</v>
      </c>
      <c r="C287" s="59" t="s">
        <v>85</v>
      </c>
      <c r="D287" s="60">
        <v>1</v>
      </c>
    </row>
    <row r="288" spans="1:4" x14ac:dyDescent="0.3">
      <c r="A288" s="57">
        <v>178</v>
      </c>
      <c r="B288" s="58">
        <v>1129</v>
      </c>
      <c r="C288" s="59" t="s">
        <v>85</v>
      </c>
      <c r="D288" s="60">
        <v>2</v>
      </c>
    </row>
    <row r="289" spans="1:4" x14ac:dyDescent="0.3">
      <c r="A289" s="57">
        <v>179</v>
      </c>
      <c r="B289" s="58">
        <v>1139</v>
      </c>
      <c r="C289" s="59" t="s">
        <v>75</v>
      </c>
      <c r="D289" s="60">
        <v>1</v>
      </c>
    </row>
    <row r="290" spans="1:4" x14ac:dyDescent="0.3">
      <c r="A290" s="57">
        <v>179</v>
      </c>
      <c r="B290" s="58">
        <v>1140</v>
      </c>
      <c r="C290" s="59" t="s">
        <v>75</v>
      </c>
      <c r="D290" s="60">
        <v>2</v>
      </c>
    </row>
    <row r="291" spans="1:4" x14ac:dyDescent="0.3">
      <c r="A291" s="57">
        <v>180</v>
      </c>
      <c r="B291" s="58">
        <v>1141</v>
      </c>
      <c r="C291" s="59" t="s">
        <v>75</v>
      </c>
      <c r="D291" s="60">
        <v>1</v>
      </c>
    </row>
    <row r="292" spans="1:4" x14ac:dyDescent="0.3">
      <c r="A292" s="57">
        <v>180</v>
      </c>
      <c r="B292" s="58">
        <v>1142</v>
      </c>
      <c r="C292" s="59" t="s">
        <v>75</v>
      </c>
      <c r="D292" s="60">
        <v>2</v>
      </c>
    </row>
    <row r="293" spans="1:4" x14ac:dyDescent="0.3">
      <c r="A293" s="57">
        <v>181</v>
      </c>
      <c r="B293" s="58">
        <v>1143</v>
      </c>
      <c r="C293" s="59" t="s">
        <v>75</v>
      </c>
      <c r="D293" s="60">
        <v>1</v>
      </c>
    </row>
    <row r="294" spans="1:4" x14ac:dyDescent="0.3">
      <c r="A294" s="57">
        <v>181</v>
      </c>
      <c r="B294" s="58">
        <v>1144</v>
      </c>
      <c r="C294" s="59" t="s">
        <v>75</v>
      </c>
      <c r="D294" s="60">
        <v>2</v>
      </c>
    </row>
    <row r="295" spans="1:4" x14ac:dyDescent="0.3">
      <c r="A295" s="57">
        <v>182</v>
      </c>
      <c r="B295" s="58">
        <v>1145</v>
      </c>
      <c r="C295" s="59" t="s">
        <v>75</v>
      </c>
      <c r="D295" s="60">
        <v>1</v>
      </c>
    </row>
    <row r="296" spans="1:4" x14ac:dyDescent="0.3">
      <c r="A296" s="57">
        <v>182</v>
      </c>
      <c r="B296" s="58">
        <v>1146</v>
      </c>
      <c r="C296" s="59" t="s">
        <v>75</v>
      </c>
      <c r="D296" s="60">
        <v>2</v>
      </c>
    </row>
    <row r="297" spans="1:4" x14ac:dyDescent="0.3">
      <c r="A297" s="57">
        <v>183</v>
      </c>
      <c r="B297" s="58">
        <v>1147</v>
      </c>
      <c r="C297" s="59" t="s">
        <v>75</v>
      </c>
      <c r="D297" s="60">
        <v>1</v>
      </c>
    </row>
    <row r="298" spans="1:4" x14ac:dyDescent="0.3">
      <c r="A298" s="57">
        <v>183</v>
      </c>
      <c r="B298" s="58">
        <v>1148</v>
      </c>
      <c r="C298" s="59" t="s">
        <v>75</v>
      </c>
      <c r="D298" s="60">
        <v>2</v>
      </c>
    </row>
    <row r="299" spans="1:4" x14ac:dyDescent="0.3">
      <c r="A299" s="57">
        <v>184</v>
      </c>
      <c r="B299" s="58">
        <v>1149</v>
      </c>
      <c r="C299" s="59" t="s">
        <v>75</v>
      </c>
      <c r="D299" s="60">
        <v>1</v>
      </c>
    </row>
    <row r="300" spans="1:4" x14ac:dyDescent="0.3">
      <c r="A300" s="57">
        <v>184</v>
      </c>
      <c r="B300" s="58">
        <v>1150</v>
      </c>
      <c r="C300" s="59" t="s">
        <v>75</v>
      </c>
      <c r="D300" s="60">
        <v>2</v>
      </c>
    </row>
    <row r="301" spans="1:4" x14ac:dyDescent="0.3">
      <c r="A301" s="57">
        <v>185</v>
      </c>
      <c r="B301" s="58">
        <v>1151</v>
      </c>
      <c r="C301" s="59" t="s">
        <v>75</v>
      </c>
      <c r="D301" s="60">
        <v>1</v>
      </c>
    </row>
    <row r="302" spans="1:4" x14ac:dyDescent="0.3">
      <c r="A302" s="57">
        <v>185</v>
      </c>
      <c r="B302" s="58">
        <v>1152</v>
      </c>
      <c r="C302" s="59" t="s">
        <v>75</v>
      </c>
      <c r="D302" s="60">
        <v>2</v>
      </c>
    </row>
    <row r="303" spans="1:4" x14ac:dyDescent="0.3">
      <c r="A303" s="57">
        <v>186</v>
      </c>
      <c r="B303" s="58">
        <v>1153</v>
      </c>
      <c r="C303" s="59" t="s">
        <v>75</v>
      </c>
      <c r="D303" s="60">
        <v>1</v>
      </c>
    </row>
    <row r="304" spans="1:4" x14ac:dyDescent="0.3">
      <c r="A304" s="57">
        <v>186</v>
      </c>
      <c r="B304" s="58">
        <v>1154</v>
      </c>
      <c r="C304" s="59" t="s">
        <v>75</v>
      </c>
      <c r="D304" s="60">
        <v>2</v>
      </c>
    </row>
    <row r="305" spans="1:4" x14ac:dyDescent="0.3">
      <c r="A305" s="57">
        <v>187</v>
      </c>
      <c r="B305" s="58">
        <v>1324</v>
      </c>
      <c r="C305" s="59" t="s">
        <v>75</v>
      </c>
      <c r="D305" s="60">
        <v>2</v>
      </c>
    </row>
    <row r="306" spans="1:4" x14ac:dyDescent="0.3">
      <c r="A306" s="57">
        <v>187</v>
      </c>
      <c r="B306" s="58">
        <v>1325</v>
      </c>
      <c r="C306" s="59" t="s">
        <v>75</v>
      </c>
      <c r="D306" s="60">
        <v>1</v>
      </c>
    </row>
    <row r="307" spans="1:4" x14ac:dyDescent="0.3">
      <c r="A307" s="57">
        <v>188</v>
      </c>
      <c r="B307" s="58">
        <v>1191</v>
      </c>
      <c r="C307" s="59" t="s">
        <v>75</v>
      </c>
      <c r="D307" s="60">
        <v>2</v>
      </c>
    </row>
    <row r="308" spans="1:4" x14ac:dyDescent="0.3">
      <c r="A308" s="57">
        <v>188</v>
      </c>
      <c r="B308" s="58">
        <v>1192</v>
      </c>
      <c r="C308" s="59" t="s">
        <v>75</v>
      </c>
      <c r="D308" s="60">
        <v>1</v>
      </c>
    </row>
    <row r="309" spans="1:4" x14ac:dyDescent="0.3">
      <c r="A309" s="57">
        <v>189</v>
      </c>
      <c r="B309" s="58">
        <v>1233</v>
      </c>
      <c r="C309" s="59" t="s">
        <v>75</v>
      </c>
      <c r="D309" s="60" t="s">
        <v>275</v>
      </c>
    </row>
    <row r="310" spans="1:4" x14ac:dyDescent="0.3">
      <c r="A310" s="57">
        <v>189</v>
      </c>
      <c r="B310" s="58">
        <v>1234</v>
      </c>
      <c r="C310" s="59" t="s">
        <v>75</v>
      </c>
      <c r="D310" s="60" t="s">
        <v>275</v>
      </c>
    </row>
    <row r="311" spans="1:4" x14ac:dyDescent="0.3">
      <c r="A311" s="57">
        <v>190</v>
      </c>
      <c r="B311" s="58">
        <v>1238</v>
      </c>
      <c r="C311" s="59" t="s">
        <v>75</v>
      </c>
      <c r="D311" s="60" t="s">
        <v>275</v>
      </c>
    </row>
    <row r="312" spans="1:4" x14ac:dyDescent="0.3">
      <c r="A312" s="57">
        <v>190</v>
      </c>
      <c r="B312" s="58">
        <v>1239</v>
      </c>
      <c r="C312" s="59" t="s">
        <v>75</v>
      </c>
      <c r="D312" s="60" t="s">
        <v>275</v>
      </c>
    </row>
    <row r="313" spans="1:4" x14ac:dyDescent="0.3">
      <c r="A313" s="57">
        <v>191</v>
      </c>
      <c r="B313" s="58">
        <v>1240</v>
      </c>
      <c r="C313" s="59" t="s">
        <v>75</v>
      </c>
      <c r="D313" s="60" t="s">
        <v>275</v>
      </c>
    </row>
    <row r="314" spans="1:4" x14ac:dyDescent="0.3">
      <c r="A314" s="57">
        <v>191</v>
      </c>
      <c r="B314" s="58">
        <v>1241</v>
      </c>
      <c r="C314" s="59" t="s">
        <v>75</v>
      </c>
      <c r="D314" s="60" t="s">
        <v>275</v>
      </c>
    </row>
    <row r="315" spans="1:4" x14ac:dyDescent="0.3">
      <c r="A315" s="57">
        <v>192</v>
      </c>
      <c r="B315" s="58">
        <v>1242</v>
      </c>
      <c r="C315" s="59" t="s">
        <v>75</v>
      </c>
      <c r="D315" s="60" t="s">
        <v>275</v>
      </c>
    </row>
    <row r="316" spans="1:4" x14ac:dyDescent="0.3">
      <c r="A316" s="57">
        <v>192</v>
      </c>
      <c r="B316" s="58">
        <v>1243</v>
      </c>
      <c r="C316" s="59" t="s">
        <v>75</v>
      </c>
      <c r="D316" s="60" t="s">
        <v>275</v>
      </c>
    </row>
    <row r="317" spans="1:4" x14ac:dyDescent="0.3">
      <c r="A317" s="57">
        <v>193</v>
      </c>
      <c r="B317" s="58">
        <v>1244</v>
      </c>
      <c r="C317" s="59" t="s">
        <v>75</v>
      </c>
      <c r="D317" s="60" t="s">
        <v>275</v>
      </c>
    </row>
    <row r="318" spans="1:4" x14ac:dyDescent="0.3">
      <c r="A318" s="57">
        <v>193</v>
      </c>
      <c r="B318" s="58">
        <v>1245</v>
      </c>
      <c r="C318" s="59" t="s">
        <v>75</v>
      </c>
      <c r="D318" s="60" t="s">
        <v>275</v>
      </c>
    </row>
    <row r="319" spans="1:4" x14ac:dyDescent="0.3">
      <c r="A319" s="57">
        <v>194</v>
      </c>
      <c r="B319" s="58">
        <v>1246</v>
      </c>
      <c r="C319" s="59" t="s">
        <v>75</v>
      </c>
      <c r="D319" s="60" t="s">
        <v>275</v>
      </c>
    </row>
    <row r="320" spans="1:4" x14ac:dyDescent="0.3">
      <c r="A320" s="57">
        <v>194</v>
      </c>
      <c r="B320" s="58">
        <v>1247</v>
      </c>
      <c r="C320" s="59" t="s">
        <v>75</v>
      </c>
      <c r="D320" s="60" t="s">
        <v>275</v>
      </c>
    </row>
    <row r="321" spans="1:4" x14ac:dyDescent="0.3">
      <c r="A321" s="57">
        <v>195</v>
      </c>
      <c r="B321" s="58">
        <v>1248</v>
      </c>
      <c r="C321" s="59" t="s">
        <v>75</v>
      </c>
      <c r="D321" s="60" t="s">
        <v>275</v>
      </c>
    </row>
    <row r="322" spans="1:4" x14ac:dyDescent="0.3">
      <c r="A322" s="57">
        <v>195</v>
      </c>
      <c r="B322" s="58">
        <v>1249</v>
      </c>
      <c r="C322" s="59" t="s">
        <v>75</v>
      </c>
      <c r="D322" s="60" t="s">
        <v>275</v>
      </c>
    </row>
    <row r="323" spans="1:4" x14ac:dyDescent="0.3">
      <c r="A323" s="57">
        <v>196</v>
      </c>
      <c r="B323" s="58">
        <v>1250</v>
      </c>
      <c r="C323" s="59" t="s">
        <v>75</v>
      </c>
      <c r="D323" s="60" t="s">
        <v>275</v>
      </c>
    </row>
    <row r="324" spans="1:4" x14ac:dyDescent="0.3">
      <c r="A324" s="57">
        <v>196</v>
      </c>
      <c r="B324" s="58">
        <v>1251</v>
      </c>
      <c r="C324" s="59" t="s">
        <v>75</v>
      </c>
      <c r="D324" s="60" t="s">
        <v>275</v>
      </c>
    </row>
    <row r="325" spans="1:4" x14ac:dyDescent="0.3">
      <c r="A325" s="57">
        <v>197</v>
      </c>
      <c r="B325" s="58">
        <v>1252</v>
      </c>
      <c r="C325" s="59" t="s">
        <v>75</v>
      </c>
      <c r="D325" s="60" t="s">
        <v>275</v>
      </c>
    </row>
    <row r="326" spans="1:4" x14ac:dyDescent="0.3">
      <c r="A326" s="57">
        <v>197</v>
      </c>
      <c r="B326" s="58">
        <v>1253</v>
      </c>
      <c r="C326" s="59" t="s">
        <v>75</v>
      </c>
      <c r="D326" s="60" t="s">
        <v>275</v>
      </c>
    </row>
    <row r="327" spans="1:4" x14ac:dyDescent="0.3">
      <c r="A327" s="57">
        <v>198</v>
      </c>
      <c r="B327" s="58">
        <v>1254</v>
      </c>
      <c r="C327" s="59" t="s">
        <v>75</v>
      </c>
      <c r="D327" s="60" t="s">
        <v>275</v>
      </c>
    </row>
    <row r="328" spans="1:4" x14ac:dyDescent="0.3">
      <c r="A328" s="57">
        <v>198</v>
      </c>
      <c r="B328" s="58">
        <v>1255</v>
      </c>
      <c r="C328" s="59" t="s">
        <v>75</v>
      </c>
      <c r="D328" s="60" t="s">
        <v>275</v>
      </c>
    </row>
    <row r="329" spans="1:4" x14ac:dyDescent="0.3">
      <c r="A329" s="57">
        <v>199</v>
      </c>
      <c r="B329" s="58">
        <v>1256</v>
      </c>
      <c r="C329" s="59" t="s">
        <v>75</v>
      </c>
      <c r="D329" s="60" t="s">
        <v>275</v>
      </c>
    </row>
    <row r="330" spans="1:4" x14ac:dyDescent="0.3">
      <c r="A330" s="57">
        <v>199</v>
      </c>
      <c r="B330" s="58">
        <v>1257</v>
      </c>
      <c r="C330" s="59" t="s">
        <v>75</v>
      </c>
      <c r="D330" s="60" t="s">
        <v>275</v>
      </c>
    </row>
    <row r="331" spans="1:4" x14ac:dyDescent="0.3">
      <c r="A331" s="57">
        <v>201</v>
      </c>
      <c r="B331" s="58">
        <v>1265</v>
      </c>
      <c r="C331" s="59" t="s">
        <v>75</v>
      </c>
      <c r="D331" s="60" t="s">
        <v>275</v>
      </c>
    </row>
    <row r="332" spans="1:4" x14ac:dyDescent="0.3">
      <c r="A332" s="57">
        <v>201</v>
      </c>
      <c r="B332" s="58">
        <v>1266</v>
      </c>
      <c r="C332" s="59" t="s">
        <v>75</v>
      </c>
      <c r="D332" s="60" t="s">
        <v>275</v>
      </c>
    </row>
    <row r="333" spans="1:4" x14ac:dyDescent="0.3">
      <c r="A333" s="57">
        <v>202</v>
      </c>
      <c r="B333" s="58">
        <v>1267</v>
      </c>
      <c r="C333" s="59" t="s">
        <v>75</v>
      </c>
      <c r="D333" s="60" t="s">
        <v>275</v>
      </c>
    </row>
    <row r="334" spans="1:4" x14ac:dyDescent="0.3">
      <c r="A334" s="57">
        <v>202</v>
      </c>
      <c r="B334" s="58">
        <v>1268</v>
      </c>
      <c r="C334" s="59" t="s">
        <v>75</v>
      </c>
      <c r="D334" s="60" t="s">
        <v>275</v>
      </c>
    </row>
    <row r="335" spans="1:4" x14ac:dyDescent="0.3">
      <c r="A335" s="57">
        <v>203</v>
      </c>
      <c r="B335" s="58">
        <v>1269</v>
      </c>
      <c r="C335" s="59" t="s">
        <v>75</v>
      </c>
      <c r="D335" s="60" t="s">
        <v>275</v>
      </c>
    </row>
    <row r="336" spans="1:4" x14ac:dyDescent="0.3">
      <c r="A336" s="57">
        <v>203</v>
      </c>
      <c r="B336" s="58">
        <v>1270</v>
      </c>
      <c r="C336" s="59" t="s">
        <v>75</v>
      </c>
      <c r="D336" s="60" t="s">
        <v>275</v>
      </c>
    </row>
    <row r="337" spans="1:4" x14ac:dyDescent="0.3">
      <c r="A337" s="57">
        <v>204</v>
      </c>
      <c r="B337" s="58">
        <v>1271</v>
      </c>
      <c r="C337" s="59" t="s">
        <v>75</v>
      </c>
      <c r="D337" s="60" t="s">
        <v>275</v>
      </c>
    </row>
    <row r="338" spans="1:4" x14ac:dyDescent="0.3">
      <c r="A338" s="57">
        <v>204</v>
      </c>
      <c r="B338" s="58">
        <v>1272</v>
      </c>
      <c r="C338" s="59" t="s">
        <v>75</v>
      </c>
      <c r="D338" s="60" t="s">
        <v>275</v>
      </c>
    </row>
    <row r="339" spans="1:4" x14ac:dyDescent="0.3">
      <c r="A339" s="57">
        <v>205</v>
      </c>
      <c r="B339" s="58">
        <v>1273</v>
      </c>
      <c r="C339" s="59" t="s">
        <v>75</v>
      </c>
      <c r="D339" s="60" t="s">
        <v>275</v>
      </c>
    </row>
    <row r="340" spans="1:4" x14ac:dyDescent="0.3">
      <c r="A340" s="57">
        <v>205</v>
      </c>
      <c r="B340" s="58">
        <v>1274</v>
      </c>
      <c r="C340" s="59" t="s">
        <v>75</v>
      </c>
      <c r="D340" s="60" t="s">
        <v>275</v>
      </c>
    </row>
    <row r="341" spans="1:4" x14ac:dyDescent="0.3">
      <c r="A341" s="57">
        <v>206</v>
      </c>
      <c r="B341" s="58">
        <v>1275</v>
      </c>
      <c r="C341" s="59" t="s">
        <v>75</v>
      </c>
      <c r="D341" s="60" t="s">
        <v>275</v>
      </c>
    </row>
    <row r="342" spans="1:4" x14ac:dyDescent="0.3">
      <c r="A342" s="57">
        <v>206</v>
      </c>
      <c r="B342" s="58">
        <v>1276</v>
      </c>
      <c r="C342" s="59" t="s">
        <v>75</v>
      </c>
      <c r="D342" s="60" t="s">
        <v>275</v>
      </c>
    </row>
    <row r="343" spans="1:4" x14ac:dyDescent="0.3">
      <c r="A343" s="57">
        <v>207</v>
      </c>
      <c r="B343" s="58">
        <v>1277</v>
      </c>
      <c r="C343" s="59" t="s">
        <v>75</v>
      </c>
      <c r="D343" s="60" t="s">
        <v>275</v>
      </c>
    </row>
    <row r="344" spans="1:4" x14ac:dyDescent="0.3">
      <c r="A344" s="57">
        <v>207</v>
      </c>
      <c r="B344" s="58">
        <v>1278</v>
      </c>
      <c r="C344" s="59" t="s">
        <v>75</v>
      </c>
      <c r="D344" s="60" t="s">
        <v>275</v>
      </c>
    </row>
    <row r="345" spans="1:4" x14ac:dyDescent="0.3">
      <c r="A345" s="57">
        <v>208</v>
      </c>
      <c r="B345" s="58">
        <v>1279</v>
      </c>
      <c r="C345" s="59" t="s">
        <v>75</v>
      </c>
      <c r="D345" s="60" t="s">
        <v>275</v>
      </c>
    </row>
    <row r="346" spans="1:4" x14ac:dyDescent="0.3">
      <c r="A346" s="57">
        <v>208</v>
      </c>
      <c r="B346" s="58">
        <v>1280</v>
      </c>
      <c r="C346" s="59" t="s">
        <v>75</v>
      </c>
      <c r="D346" s="60" t="s">
        <v>275</v>
      </c>
    </row>
    <row r="347" spans="1:4" x14ac:dyDescent="0.3">
      <c r="A347" s="57">
        <v>209</v>
      </c>
      <c r="B347" s="58">
        <v>1286</v>
      </c>
      <c r="C347" s="59" t="s">
        <v>75</v>
      </c>
      <c r="D347" s="60">
        <v>2</v>
      </c>
    </row>
    <row r="348" spans="1:4" x14ac:dyDescent="0.3">
      <c r="A348" s="57">
        <v>209</v>
      </c>
      <c r="B348" s="58">
        <v>1287</v>
      </c>
      <c r="C348" s="59" t="s">
        <v>75</v>
      </c>
      <c r="D348" s="60">
        <v>1</v>
      </c>
    </row>
    <row r="349" spans="1:4" x14ac:dyDescent="0.3">
      <c r="A349" s="57">
        <v>210</v>
      </c>
      <c r="B349" s="58">
        <v>1293</v>
      </c>
      <c r="C349" s="59" t="s">
        <v>75</v>
      </c>
      <c r="D349" s="60">
        <v>2</v>
      </c>
    </row>
    <row r="350" spans="1:4" x14ac:dyDescent="0.3">
      <c r="A350" s="57">
        <v>210</v>
      </c>
      <c r="B350" s="58">
        <v>1294</v>
      </c>
      <c r="C350" s="59" t="s">
        <v>75</v>
      </c>
      <c r="D350" s="60">
        <v>1</v>
      </c>
    </row>
    <row r="351" spans="1:4" x14ac:dyDescent="0.3">
      <c r="A351" s="57">
        <v>211</v>
      </c>
      <c r="B351" s="58">
        <v>1295</v>
      </c>
      <c r="C351" s="59" t="s">
        <v>75</v>
      </c>
      <c r="D351" s="60">
        <v>2</v>
      </c>
    </row>
    <row r="352" spans="1:4" x14ac:dyDescent="0.3">
      <c r="A352" s="57">
        <v>211</v>
      </c>
      <c r="B352" s="58">
        <v>1296</v>
      </c>
      <c r="C352" s="59" t="s">
        <v>75</v>
      </c>
      <c r="D352" s="60">
        <v>1</v>
      </c>
    </row>
    <row r="353" spans="1:4" x14ac:dyDescent="0.3">
      <c r="A353" s="57">
        <v>212</v>
      </c>
      <c r="B353" s="58">
        <v>1297</v>
      </c>
      <c r="C353" s="59" t="s">
        <v>75</v>
      </c>
      <c r="D353" s="60">
        <v>2</v>
      </c>
    </row>
    <row r="354" spans="1:4" x14ac:dyDescent="0.3">
      <c r="A354" s="57">
        <v>212</v>
      </c>
      <c r="B354" s="58">
        <v>1298</v>
      </c>
      <c r="C354" s="59" t="s">
        <v>75</v>
      </c>
      <c r="D354" s="60">
        <v>1</v>
      </c>
    </row>
    <row r="355" spans="1:4" x14ac:dyDescent="0.3">
      <c r="A355" s="57">
        <v>213</v>
      </c>
      <c r="B355" s="58">
        <v>1299</v>
      </c>
      <c r="C355" s="59" t="s">
        <v>75</v>
      </c>
      <c r="D355" s="60">
        <v>2</v>
      </c>
    </row>
    <row r="356" spans="1:4" x14ac:dyDescent="0.3">
      <c r="A356" s="57">
        <v>213</v>
      </c>
      <c r="B356" s="58">
        <v>1300</v>
      </c>
      <c r="C356" s="59" t="s">
        <v>75</v>
      </c>
      <c r="D356" s="60">
        <v>1</v>
      </c>
    </row>
    <row r="357" spans="1:4" x14ac:dyDescent="0.3">
      <c r="A357" s="57">
        <v>214</v>
      </c>
      <c r="B357" s="58">
        <v>1326</v>
      </c>
      <c r="C357" s="59" t="s">
        <v>75</v>
      </c>
      <c r="D357" s="60">
        <v>2</v>
      </c>
    </row>
    <row r="358" spans="1:4" x14ac:dyDescent="0.3">
      <c r="A358" s="57">
        <v>214</v>
      </c>
      <c r="B358" s="58">
        <v>1327</v>
      </c>
      <c r="C358" s="59" t="s">
        <v>75</v>
      </c>
      <c r="D358" s="60">
        <v>1</v>
      </c>
    </row>
    <row r="359" spans="1:4" x14ac:dyDescent="0.3">
      <c r="A359" s="57">
        <v>215</v>
      </c>
      <c r="B359" s="58">
        <v>1328</v>
      </c>
      <c r="C359" s="59" t="s">
        <v>75</v>
      </c>
      <c r="D359" s="60">
        <v>2</v>
      </c>
    </row>
    <row r="360" spans="1:4" x14ac:dyDescent="0.3">
      <c r="A360" s="57">
        <v>215</v>
      </c>
      <c r="B360" s="58">
        <v>1329</v>
      </c>
      <c r="C360" s="59" t="s">
        <v>75</v>
      </c>
      <c r="D360" s="60">
        <v>1</v>
      </c>
    </row>
    <row r="361" spans="1:4" x14ac:dyDescent="0.3">
      <c r="A361" s="57">
        <v>216</v>
      </c>
      <c r="B361" s="58">
        <v>1330</v>
      </c>
      <c r="C361" s="59" t="s">
        <v>75</v>
      </c>
      <c r="D361" s="60">
        <v>2</v>
      </c>
    </row>
    <row r="362" spans="1:4" x14ac:dyDescent="0.3">
      <c r="A362" s="57">
        <v>216</v>
      </c>
      <c r="B362" s="58">
        <v>1331</v>
      </c>
      <c r="C362" s="59" t="s">
        <v>75</v>
      </c>
      <c r="D362" s="60">
        <v>1</v>
      </c>
    </row>
    <row r="363" spans="1:4" x14ac:dyDescent="0.3">
      <c r="A363" s="57">
        <v>217</v>
      </c>
      <c r="B363" s="58">
        <v>1332</v>
      </c>
      <c r="C363" s="59" t="s">
        <v>75</v>
      </c>
      <c r="D363" s="60">
        <v>2</v>
      </c>
    </row>
    <row r="364" spans="1:4" x14ac:dyDescent="0.3">
      <c r="A364" s="57">
        <v>217</v>
      </c>
      <c r="B364" s="58">
        <v>1333</v>
      </c>
      <c r="C364" s="59" t="s">
        <v>75</v>
      </c>
      <c r="D364" s="60">
        <v>1</v>
      </c>
    </row>
    <row r="365" spans="1:4" x14ac:dyDescent="0.3">
      <c r="A365" s="57">
        <v>218</v>
      </c>
      <c r="B365" s="58">
        <v>1334</v>
      </c>
      <c r="C365" s="59" t="s">
        <v>75</v>
      </c>
      <c r="D365" s="60">
        <v>2</v>
      </c>
    </row>
    <row r="366" spans="1:4" x14ac:dyDescent="0.3">
      <c r="A366" s="57">
        <v>218</v>
      </c>
      <c r="B366" s="58">
        <v>1335</v>
      </c>
      <c r="C366" s="59" t="s">
        <v>75</v>
      </c>
      <c r="D366" s="60">
        <v>1</v>
      </c>
    </row>
    <row r="367" spans="1:4" x14ac:dyDescent="0.3">
      <c r="A367" s="57">
        <v>219</v>
      </c>
      <c r="B367" s="58">
        <v>1336</v>
      </c>
      <c r="C367" s="59" t="s">
        <v>75</v>
      </c>
      <c r="D367" s="60">
        <v>2</v>
      </c>
    </row>
    <row r="368" spans="1:4" x14ac:dyDescent="0.3">
      <c r="A368" s="57">
        <v>219</v>
      </c>
      <c r="B368" s="58">
        <v>1337</v>
      </c>
      <c r="C368" s="59" t="s">
        <v>75</v>
      </c>
      <c r="D368" s="60">
        <v>1</v>
      </c>
    </row>
    <row r="369" spans="1:4" x14ac:dyDescent="0.3">
      <c r="A369" s="57">
        <v>220</v>
      </c>
      <c r="B369" s="58">
        <v>1338</v>
      </c>
      <c r="C369" s="59" t="s">
        <v>75</v>
      </c>
      <c r="D369" s="60">
        <v>2</v>
      </c>
    </row>
    <row r="370" spans="1:4" x14ac:dyDescent="0.3">
      <c r="A370" s="57">
        <v>220</v>
      </c>
      <c r="B370" s="58">
        <v>1339</v>
      </c>
      <c r="C370" s="59" t="s">
        <v>75</v>
      </c>
      <c r="D370" s="60">
        <v>1</v>
      </c>
    </row>
    <row r="371" spans="1:4" x14ac:dyDescent="0.3">
      <c r="A371" s="57">
        <v>221</v>
      </c>
      <c r="B371" s="58">
        <v>1340</v>
      </c>
      <c r="C371" s="59" t="s">
        <v>75</v>
      </c>
      <c r="D371" s="60">
        <v>2</v>
      </c>
    </row>
    <row r="372" spans="1:4" x14ac:dyDescent="0.3">
      <c r="A372" s="57">
        <v>221</v>
      </c>
      <c r="B372" s="58">
        <v>1341</v>
      </c>
      <c r="C372" s="59" t="s">
        <v>75</v>
      </c>
      <c r="D372" s="60">
        <v>1</v>
      </c>
    </row>
    <row r="373" spans="1:4" x14ac:dyDescent="0.3">
      <c r="A373" s="57">
        <v>222</v>
      </c>
      <c r="B373" s="58">
        <v>1342</v>
      </c>
      <c r="C373" s="59" t="s">
        <v>75</v>
      </c>
      <c r="D373" s="60">
        <v>2</v>
      </c>
    </row>
    <row r="374" spans="1:4" x14ac:dyDescent="0.3">
      <c r="A374" s="57">
        <v>222</v>
      </c>
      <c r="B374" s="58">
        <v>1343</v>
      </c>
      <c r="C374" s="59" t="s">
        <v>75</v>
      </c>
      <c r="D374" s="60">
        <v>1</v>
      </c>
    </row>
    <row r="375" spans="1:4" x14ac:dyDescent="0.3">
      <c r="A375" s="57">
        <v>223</v>
      </c>
      <c r="B375" s="58">
        <v>1344</v>
      </c>
      <c r="C375" s="59" t="s">
        <v>75</v>
      </c>
      <c r="D375" s="60">
        <v>2</v>
      </c>
    </row>
    <row r="376" spans="1:4" x14ac:dyDescent="0.3">
      <c r="A376" s="57">
        <v>223</v>
      </c>
      <c r="B376" s="58">
        <v>1345</v>
      </c>
      <c r="C376" s="59" t="s">
        <v>75</v>
      </c>
      <c r="D376" s="60">
        <v>1</v>
      </c>
    </row>
    <row r="377" spans="1:4" x14ac:dyDescent="0.3">
      <c r="A377" s="57">
        <v>224</v>
      </c>
      <c r="B377" s="58">
        <v>1353</v>
      </c>
      <c r="C377" s="59" t="s">
        <v>75</v>
      </c>
      <c r="D377" s="60">
        <v>2</v>
      </c>
    </row>
    <row r="378" spans="1:4" x14ac:dyDescent="0.3">
      <c r="A378" s="57">
        <v>224</v>
      </c>
      <c r="B378" s="58">
        <v>1354</v>
      </c>
      <c r="C378" s="59" t="s">
        <v>75</v>
      </c>
      <c r="D378" s="60">
        <v>1</v>
      </c>
    </row>
    <row r="379" spans="1:4" x14ac:dyDescent="0.3">
      <c r="A379" s="57">
        <v>225</v>
      </c>
      <c r="B379" s="58">
        <v>1355</v>
      </c>
      <c r="C379" s="59" t="s">
        <v>75</v>
      </c>
      <c r="D379" s="60">
        <v>2</v>
      </c>
    </row>
    <row r="380" spans="1:4" x14ac:dyDescent="0.3">
      <c r="A380" s="57">
        <v>225</v>
      </c>
      <c r="B380" s="58">
        <v>1356</v>
      </c>
      <c r="C380" s="59" t="s">
        <v>75</v>
      </c>
      <c r="D380" s="60">
        <v>1</v>
      </c>
    </row>
    <row r="381" spans="1:4" x14ac:dyDescent="0.3">
      <c r="A381" s="57">
        <v>226</v>
      </c>
      <c r="B381" s="58">
        <v>1357</v>
      </c>
      <c r="C381" s="59" t="s">
        <v>75</v>
      </c>
      <c r="D381" s="60">
        <v>2</v>
      </c>
    </row>
    <row r="382" spans="1:4" x14ac:dyDescent="0.3">
      <c r="A382" s="57">
        <v>226</v>
      </c>
      <c r="B382" s="58">
        <v>1358</v>
      </c>
      <c r="C382" s="59" t="s">
        <v>75</v>
      </c>
      <c r="D382" s="60">
        <v>1</v>
      </c>
    </row>
    <row r="383" spans="1:4" x14ac:dyDescent="0.3">
      <c r="A383" s="57">
        <v>227</v>
      </c>
      <c r="B383" s="58">
        <v>1359</v>
      </c>
      <c r="C383" s="59" t="s">
        <v>75</v>
      </c>
      <c r="D383" s="60">
        <v>2</v>
      </c>
    </row>
    <row r="384" spans="1:4" x14ac:dyDescent="0.3">
      <c r="A384" s="57">
        <v>227</v>
      </c>
      <c r="B384" s="58">
        <v>1360</v>
      </c>
      <c r="C384" s="59" t="s">
        <v>75</v>
      </c>
      <c r="D384" s="60">
        <v>1</v>
      </c>
    </row>
    <row r="385" spans="1:4" x14ac:dyDescent="0.3">
      <c r="A385" s="57">
        <v>228</v>
      </c>
      <c r="B385" s="58">
        <v>1361</v>
      </c>
      <c r="C385" s="59" t="s">
        <v>86</v>
      </c>
      <c r="D385" s="60" t="s">
        <v>37</v>
      </c>
    </row>
    <row r="386" spans="1:4" x14ac:dyDescent="0.3">
      <c r="A386" s="57">
        <v>228</v>
      </c>
      <c r="B386" s="58">
        <v>1399</v>
      </c>
      <c r="C386" s="59" t="s">
        <v>86</v>
      </c>
      <c r="D386" s="60" t="s">
        <v>37</v>
      </c>
    </row>
    <row r="387" spans="1:4" x14ac:dyDescent="0.3">
      <c r="A387" s="57">
        <v>229</v>
      </c>
      <c r="B387" s="58">
        <v>1362</v>
      </c>
      <c r="C387" s="59" t="s">
        <v>86</v>
      </c>
      <c r="D387" s="60" t="s">
        <v>37</v>
      </c>
    </row>
    <row r="388" spans="1:4" x14ac:dyDescent="0.3">
      <c r="A388" s="57">
        <v>229</v>
      </c>
      <c r="B388" s="58">
        <v>1400</v>
      </c>
      <c r="C388" s="59" t="s">
        <v>86</v>
      </c>
      <c r="D388" s="60" t="s">
        <v>37</v>
      </c>
    </row>
    <row r="389" spans="1:4" x14ac:dyDescent="0.3">
      <c r="A389" s="57">
        <v>230</v>
      </c>
      <c r="B389" s="58">
        <v>1363</v>
      </c>
      <c r="C389" s="59" t="s">
        <v>75</v>
      </c>
      <c r="D389" s="60" t="s">
        <v>37</v>
      </c>
    </row>
    <row r="390" spans="1:4" x14ac:dyDescent="0.3">
      <c r="A390" s="57">
        <v>230</v>
      </c>
      <c r="B390" s="58">
        <v>1401</v>
      </c>
      <c r="C390" s="59" t="s">
        <v>75</v>
      </c>
      <c r="D390" s="60" t="s">
        <v>37</v>
      </c>
    </row>
    <row r="391" spans="1:4" x14ac:dyDescent="0.3">
      <c r="A391" s="57">
        <v>231</v>
      </c>
      <c r="B391" s="58">
        <v>1371</v>
      </c>
      <c r="C391" s="59" t="s">
        <v>63</v>
      </c>
      <c r="D391" s="60">
        <v>2</v>
      </c>
    </row>
    <row r="392" spans="1:4" x14ac:dyDescent="0.3">
      <c r="A392" s="57">
        <v>231</v>
      </c>
      <c r="B392" s="58">
        <v>1372</v>
      </c>
      <c r="C392" s="59" t="s">
        <v>63</v>
      </c>
      <c r="D392" s="60">
        <v>1</v>
      </c>
    </row>
    <row r="393" spans="1:4" x14ac:dyDescent="0.3">
      <c r="A393" s="57">
        <v>233</v>
      </c>
      <c r="B393" s="58">
        <v>1375</v>
      </c>
      <c r="C393" s="59" t="s">
        <v>63</v>
      </c>
      <c r="D393" s="60">
        <v>2</v>
      </c>
    </row>
    <row r="394" spans="1:4" x14ac:dyDescent="0.3">
      <c r="A394" s="57">
        <v>233</v>
      </c>
      <c r="B394" s="58">
        <v>1376</v>
      </c>
      <c r="C394" s="59" t="s">
        <v>63</v>
      </c>
      <c r="D394" s="60">
        <v>1</v>
      </c>
    </row>
    <row r="395" spans="1:4" x14ac:dyDescent="0.3">
      <c r="A395" s="57">
        <v>234</v>
      </c>
      <c r="B395" s="58">
        <v>1377</v>
      </c>
      <c r="C395" s="59" t="s">
        <v>63</v>
      </c>
      <c r="D395" s="60">
        <v>2</v>
      </c>
    </row>
    <row r="396" spans="1:4" x14ac:dyDescent="0.3">
      <c r="A396" s="57">
        <v>234</v>
      </c>
      <c r="B396" s="58">
        <v>1378</v>
      </c>
      <c r="C396" s="59" t="s">
        <v>63</v>
      </c>
      <c r="D396" s="60">
        <v>1</v>
      </c>
    </row>
    <row r="397" spans="1:4" x14ac:dyDescent="0.3">
      <c r="A397" s="57">
        <v>235</v>
      </c>
      <c r="B397" s="58">
        <v>1379</v>
      </c>
      <c r="C397" s="59" t="s">
        <v>63</v>
      </c>
      <c r="D397" s="60">
        <v>2</v>
      </c>
    </row>
    <row r="398" spans="1:4" x14ac:dyDescent="0.3">
      <c r="A398" s="57">
        <v>235</v>
      </c>
      <c r="B398" s="58">
        <v>1380</v>
      </c>
      <c r="C398" s="59" t="s">
        <v>63</v>
      </c>
      <c r="D398" s="60">
        <v>1</v>
      </c>
    </row>
    <row r="399" spans="1:4" x14ac:dyDescent="0.3">
      <c r="A399" s="57">
        <v>236</v>
      </c>
      <c r="B399" s="58">
        <v>1381</v>
      </c>
      <c r="C399" s="59" t="s">
        <v>63</v>
      </c>
      <c r="D399" s="60">
        <v>2</v>
      </c>
    </row>
    <row r="400" spans="1:4" x14ac:dyDescent="0.3">
      <c r="A400" s="57">
        <v>236</v>
      </c>
      <c r="B400" s="58">
        <v>1382</v>
      </c>
      <c r="C400" s="59" t="s">
        <v>63</v>
      </c>
      <c r="D400" s="60">
        <v>1</v>
      </c>
    </row>
    <row r="401" spans="1:4" x14ac:dyDescent="0.3">
      <c r="A401" s="57">
        <v>237</v>
      </c>
      <c r="B401" s="58">
        <v>1383</v>
      </c>
      <c r="C401" s="59" t="s">
        <v>63</v>
      </c>
      <c r="D401" s="60">
        <v>2</v>
      </c>
    </row>
    <row r="402" spans="1:4" x14ac:dyDescent="0.3">
      <c r="A402" s="57">
        <v>237</v>
      </c>
      <c r="B402" s="58">
        <v>1384</v>
      </c>
      <c r="C402" s="59" t="s">
        <v>63</v>
      </c>
      <c r="D402" s="60">
        <v>1</v>
      </c>
    </row>
    <row r="403" spans="1:4" x14ac:dyDescent="0.3">
      <c r="A403" s="57">
        <v>238</v>
      </c>
      <c r="B403" s="58">
        <v>1385</v>
      </c>
      <c r="C403" s="59" t="s">
        <v>75</v>
      </c>
      <c r="D403" s="60">
        <v>2</v>
      </c>
    </row>
    <row r="404" spans="1:4" x14ac:dyDescent="0.3">
      <c r="A404" s="57">
        <v>238</v>
      </c>
      <c r="B404" s="58">
        <v>1386</v>
      </c>
      <c r="C404" s="59" t="s">
        <v>75</v>
      </c>
      <c r="D404" s="60">
        <v>1</v>
      </c>
    </row>
    <row r="405" spans="1:4" x14ac:dyDescent="0.3">
      <c r="A405" s="57">
        <v>241</v>
      </c>
      <c r="B405" s="58">
        <v>1042</v>
      </c>
      <c r="C405" s="59" t="s">
        <v>87</v>
      </c>
      <c r="D405" s="60">
        <v>2</v>
      </c>
    </row>
    <row r="406" spans="1:4" x14ac:dyDescent="0.3">
      <c r="A406" s="57">
        <v>241</v>
      </c>
      <c r="B406" s="58">
        <v>1043</v>
      </c>
      <c r="C406" s="59" t="s">
        <v>87</v>
      </c>
      <c r="D406" s="60">
        <v>1</v>
      </c>
    </row>
    <row r="407" spans="1:4" x14ac:dyDescent="0.3">
      <c r="A407" s="57">
        <v>242</v>
      </c>
      <c r="B407" s="58">
        <v>44</v>
      </c>
      <c r="C407" s="59" t="s">
        <v>88</v>
      </c>
      <c r="D407" s="60">
        <v>1</v>
      </c>
    </row>
    <row r="408" spans="1:4" x14ac:dyDescent="0.3">
      <c r="A408" s="57">
        <v>242</v>
      </c>
      <c r="B408" s="58">
        <v>208</v>
      </c>
      <c r="C408" s="59" t="s">
        <v>88</v>
      </c>
      <c r="D408" s="60">
        <v>2</v>
      </c>
    </row>
    <row r="409" spans="1:4" x14ac:dyDescent="0.3">
      <c r="A409" s="57">
        <v>243</v>
      </c>
      <c r="B409" s="58">
        <v>21</v>
      </c>
      <c r="C409" s="59" t="s">
        <v>89</v>
      </c>
      <c r="D409" s="60">
        <v>1</v>
      </c>
    </row>
    <row r="410" spans="1:4" x14ac:dyDescent="0.3">
      <c r="A410" s="57">
        <v>243</v>
      </c>
      <c r="B410" s="58">
        <v>231</v>
      </c>
      <c r="C410" s="59" t="s">
        <v>89</v>
      </c>
      <c r="D410" s="60" t="s">
        <v>279</v>
      </c>
    </row>
    <row r="411" spans="1:4" x14ac:dyDescent="0.3">
      <c r="A411" s="57">
        <v>244</v>
      </c>
      <c r="B411" s="58">
        <v>40</v>
      </c>
      <c r="C411" s="59" t="s">
        <v>75</v>
      </c>
      <c r="D411" s="60">
        <v>1</v>
      </c>
    </row>
    <row r="412" spans="1:4" x14ac:dyDescent="0.3">
      <c r="A412" s="57">
        <v>244</v>
      </c>
      <c r="B412" s="58">
        <v>206</v>
      </c>
      <c r="C412" s="59" t="s">
        <v>75</v>
      </c>
      <c r="D412" s="60">
        <v>2</v>
      </c>
    </row>
    <row r="413" spans="1:4" x14ac:dyDescent="0.3">
      <c r="A413" s="57">
        <v>245</v>
      </c>
      <c r="B413" s="58">
        <v>1012</v>
      </c>
      <c r="C413" s="59" t="s">
        <v>88</v>
      </c>
      <c r="D413" s="60">
        <v>2</v>
      </c>
    </row>
    <row r="414" spans="1:4" x14ac:dyDescent="0.3">
      <c r="A414" s="57">
        <v>245</v>
      </c>
      <c r="B414" s="58">
        <v>1013</v>
      </c>
      <c r="C414" s="59" t="s">
        <v>88</v>
      </c>
      <c r="D414" s="60">
        <v>1</v>
      </c>
    </row>
    <row r="415" spans="1:4" x14ac:dyDescent="0.3">
      <c r="A415" s="57">
        <v>246</v>
      </c>
      <c r="B415" s="58">
        <v>160</v>
      </c>
      <c r="C415" s="59" t="s">
        <v>90</v>
      </c>
      <c r="D415" s="60">
        <v>2</v>
      </c>
    </row>
    <row r="416" spans="1:4" x14ac:dyDescent="0.3">
      <c r="A416" s="57">
        <v>246</v>
      </c>
      <c r="B416" s="58">
        <v>276</v>
      </c>
      <c r="C416" s="59" t="s">
        <v>90</v>
      </c>
      <c r="D416" s="60">
        <v>1</v>
      </c>
    </row>
    <row r="417" spans="1:4" x14ac:dyDescent="0.3">
      <c r="A417" s="57">
        <v>246</v>
      </c>
      <c r="B417" s="58">
        <v>277</v>
      </c>
      <c r="C417" s="59" t="s">
        <v>90</v>
      </c>
      <c r="D417" s="60">
        <v>1</v>
      </c>
    </row>
    <row r="418" spans="1:4" x14ac:dyDescent="0.3">
      <c r="A418" s="57">
        <v>247</v>
      </c>
      <c r="B418" s="58">
        <v>1288</v>
      </c>
      <c r="C418" s="59" t="s">
        <v>88</v>
      </c>
      <c r="D418" s="60">
        <v>1</v>
      </c>
    </row>
    <row r="419" spans="1:4" x14ac:dyDescent="0.3">
      <c r="A419" s="57">
        <v>247</v>
      </c>
      <c r="B419" s="58">
        <v>1289</v>
      </c>
      <c r="C419" s="59" t="s">
        <v>88</v>
      </c>
      <c r="D419" s="60">
        <v>2</v>
      </c>
    </row>
    <row r="420" spans="1:4" x14ac:dyDescent="0.3">
      <c r="A420" s="57">
        <v>248</v>
      </c>
      <c r="B420" s="58">
        <v>1174</v>
      </c>
      <c r="C420" s="59" t="s">
        <v>75</v>
      </c>
      <c r="D420" s="60">
        <v>1</v>
      </c>
    </row>
    <row r="421" spans="1:4" x14ac:dyDescent="0.3">
      <c r="A421" s="57">
        <v>248</v>
      </c>
      <c r="B421" s="58">
        <v>1175</v>
      </c>
      <c r="C421" s="59" t="s">
        <v>75</v>
      </c>
      <c r="D421" s="60">
        <v>2</v>
      </c>
    </row>
    <row r="422" spans="1:4" x14ac:dyDescent="0.3">
      <c r="A422" s="57">
        <v>249</v>
      </c>
      <c r="B422" s="58">
        <v>1351</v>
      </c>
      <c r="C422" s="59" t="s">
        <v>88</v>
      </c>
      <c r="D422" s="60">
        <v>2</v>
      </c>
    </row>
    <row r="423" spans="1:4" x14ac:dyDescent="0.3">
      <c r="A423" s="57">
        <v>249</v>
      </c>
      <c r="B423" s="58">
        <v>1352</v>
      </c>
      <c r="C423" s="59" t="s">
        <v>88</v>
      </c>
      <c r="D423" s="60">
        <v>1</v>
      </c>
    </row>
    <row r="424" spans="1:4" x14ac:dyDescent="0.3">
      <c r="A424" s="57">
        <v>250</v>
      </c>
      <c r="B424" s="58">
        <v>206</v>
      </c>
      <c r="C424" s="59" t="s">
        <v>91</v>
      </c>
      <c r="D424" s="60" t="s">
        <v>37</v>
      </c>
    </row>
    <row r="425" spans="1:4" x14ac:dyDescent="0.3">
      <c r="A425" s="57">
        <v>251</v>
      </c>
      <c r="B425" s="58">
        <v>210</v>
      </c>
      <c r="C425" s="59" t="s">
        <v>91</v>
      </c>
      <c r="D425" s="60" t="s">
        <v>37</v>
      </c>
    </row>
    <row r="426" spans="1:4" x14ac:dyDescent="0.3">
      <c r="A426" s="57">
        <v>252</v>
      </c>
      <c r="B426" s="58">
        <v>212</v>
      </c>
      <c r="C426" s="59" t="s">
        <v>91</v>
      </c>
      <c r="D426" s="60" t="s">
        <v>37</v>
      </c>
    </row>
    <row r="427" spans="1:4" x14ac:dyDescent="0.3">
      <c r="A427" s="57">
        <v>253</v>
      </c>
      <c r="B427" s="58">
        <v>1290</v>
      </c>
      <c r="C427" s="59" t="s">
        <v>91</v>
      </c>
      <c r="D427" s="60" t="s">
        <v>37</v>
      </c>
    </row>
    <row r="428" spans="1:4" x14ac:dyDescent="0.3">
      <c r="A428" s="57">
        <v>254</v>
      </c>
      <c r="B428" s="58">
        <v>1316</v>
      </c>
      <c r="C428" s="59" t="s">
        <v>92</v>
      </c>
      <c r="D428" s="60">
        <v>2</v>
      </c>
    </row>
    <row r="429" spans="1:4" x14ac:dyDescent="0.3">
      <c r="A429" s="57">
        <v>254</v>
      </c>
      <c r="B429" s="58">
        <v>1317</v>
      </c>
      <c r="C429" s="59" t="s">
        <v>92</v>
      </c>
      <c r="D429" s="60">
        <v>1</v>
      </c>
    </row>
    <row r="430" spans="1:4" x14ac:dyDescent="0.3">
      <c r="A430" s="57">
        <v>255</v>
      </c>
      <c r="B430" s="58">
        <v>1320</v>
      </c>
      <c r="C430" s="59" t="s">
        <v>93</v>
      </c>
      <c r="D430" s="60">
        <v>2</v>
      </c>
    </row>
    <row r="431" spans="1:4" x14ac:dyDescent="0.3">
      <c r="A431" s="57">
        <v>255</v>
      </c>
      <c r="B431" s="58">
        <v>1321</v>
      </c>
      <c r="C431" s="59" t="s">
        <v>93</v>
      </c>
      <c r="D431" s="60">
        <v>1</v>
      </c>
    </row>
    <row r="432" spans="1:4" x14ac:dyDescent="0.3">
      <c r="A432" s="57">
        <v>257</v>
      </c>
      <c r="B432" s="58">
        <v>57</v>
      </c>
      <c r="C432" s="59" t="s">
        <v>94</v>
      </c>
      <c r="D432" s="60">
        <v>1</v>
      </c>
    </row>
    <row r="433" spans="1:4" x14ac:dyDescent="0.3">
      <c r="A433" s="57">
        <v>257</v>
      </c>
      <c r="B433" s="58">
        <v>196</v>
      </c>
      <c r="C433" s="59" t="s">
        <v>94</v>
      </c>
      <c r="D433" s="60">
        <v>2</v>
      </c>
    </row>
    <row r="434" spans="1:4" x14ac:dyDescent="0.3">
      <c r="A434" s="57">
        <v>258</v>
      </c>
      <c r="B434" s="58">
        <v>56</v>
      </c>
      <c r="C434" s="59" t="s">
        <v>95</v>
      </c>
      <c r="D434" s="60">
        <v>1</v>
      </c>
    </row>
    <row r="435" spans="1:4" x14ac:dyDescent="0.3">
      <c r="A435" s="57">
        <v>258</v>
      </c>
      <c r="B435" s="58">
        <v>195</v>
      </c>
      <c r="C435" s="59" t="s">
        <v>95</v>
      </c>
      <c r="D435" s="60">
        <v>2</v>
      </c>
    </row>
    <row r="436" spans="1:4" x14ac:dyDescent="0.3">
      <c r="A436" s="57">
        <v>259</v>
      </c>
      <c r="B436" s="58">
        <v>94</v>
      </c>
      <c r="C436" s="59" t="s">
        <v>96</v>
      </c>
      <c r="D436" s="60">
        <v>1</v>
      </c>
    </row>
    <row r="437" spans="1:4" x14ac:dyDescent="0.3">
      <c r="A437" s="57">
        <v>259</v>
      </c>
      <c r="B437" s="58">
        <v>167</v>
      </c>
      <c r="C437" s="59" t="s">
        <v>96</v>
      </c>
      <c r="D437" s="60">
        <v>2</v>
      </c>
    </row>
    <row r="438" spans="1:4" x14ac:dyDescent="0.3">
      <c r="A438" s="57">
        <v>260</v>
      </c>
      <c r="B438" s="58">
        <v>59</v>
      </c>
      <c r="C438" s="59" t="s">
        <v>95</v>
      </c>
      <c r="D438" s="60" t="s">
        <v>275</v>
      </c>
    </row>
    <row r="439" spans="1:4" x14ac:dyDescent="0.3">
      <c r="A439" s="57">
        <v>260</v>
      </c>
      <c r="B439" s="58">
        <v>191</v>
      </c>
      <c r="C439" s="59" t="s">
        <v>95</v>
      </c>
      <c r="D439" s="60" t="s">
        <v>275</v>
      </c>
    </row>
    <row r="440" spans="1:4" x14ac:dyDescent="0.3">
      <c r="A440" s="57">
        <v>261</v>
      </c>
      <c r="B440" s="58">
        <v>55</v>
      </c>
      <c r="C440" s="59" t="s">
        <v>95</v>
      </c>
      <c r="D440" s="60">
        <v>1</v>
      </c>
    </row>
    <row r="441" spans="1:4" x14ac:dyDescent="0.3">
      <c r="A441" s="57">
        <v>261</v>
      </c>
      <c r="B441" s="58">
        <v>194</v>
      </c>
      <c r="C441" s="59" t="s">
        <v>95</v>
      </c>
      <c r="D441" s="60" t="s">
        <v>278</v>
      </c>
    </row>
    <row r="442" spans="1:4" x14ac:dyDescent="0.3">
      <c r="A442" s="57">
        <v>262</v>
      </c>
      <c r="B442" s="58">
        <v>57</v>
      </c>
      <c r="C442" s="59" t="s">
        <v>95</v>
      </c>
      <c r="D442" s="60">
        <v>1</v>
      </c>
    </row>
    <row r="443" spans="1:4" x14ac:dyDescent="0.3">
      <c r="A443" s="57">
        <v>262</v>
      </c>
      <c r="B443" s="58">
        <v>196</v>
      </c>
      <c r="C443" s="59" t="s">
        <v>95</v>
      </c>
      <c r="D443" s="60" t="s">
        <v>280</v>
      </c>
    </row>
    <row r="444" spans="1:4" x14ac:dyDescent="0.3">
      <c r="A444" s="57">
        <v>263</v>
      </c>
      <c r="B444" s="58">
        <v>1010</v>
      </c>
      <c r="C444" s="59" t="s">
        <v>95</v>
      </c>
      <c r="D444" s="60">
        <v>2</v>
      </c>
    </row>
    <row r="445" spans="1:4" x14ac:dyDescent="0.3">
      <c r="A445" s="57">
        <v>263</v>
      </c>
      <c r="B445" s="58">
        <v>1011</v>
      </c>
      <c r="C445" s="59" t="s">
        <v>95</v>
      </c>
      <c r="D445" s="60">
        <v>1</v>
      </c>
    </row>
    <row r="446" spans="1:4" x14ac:dyDescent="0.3">
      <c r="A446" s="57">
        <v>264</v>
      </c>
      <c r="B446" s="58">
        <v>1069</v>
      </c>
      <c r="C446" s="59" t="s">
        <v>95</v>
      </c>
      <c r="D446" s="60">
        <v>1</v>
      </c>
    </row>
    <row r="447" spans="1:4" x14ac:dyDescent="0.3">
      <c r="A447" s="57">
        <v>264</v>
      </c>
      <c r="B447" s="58">
        <v>1070</v>
      </c>
      <c r="C447" s="59" t="s">
        <v>95</v>
      </c>
      <c r="D447" s="60">
        <v>2</v>
      </c>
    </row>
    <row r="448" spans="1:4" x14ac:dyDescent="0.3">
      <c r="A448" s="57">
        <v>265</v>
      </c>
      <c r="B448" s="58">
        <v>190</v>
      </c>
      <c r="C448" s="59" t="s">
        <v>97</v>
      </c>
      <c r="D448" s="60" t="s">
        <v>277</v>
      </c>
    </row>
    <row r="449" spans="1:4" x14ac:dyDescent="0.3">
      <c r="A449" s="57">
        <v>266</v>
      </c>
      <c r="B449" s="58">
        <v>191</v>
      </c>
      <c r="C449" s="59" t="s">
        <v>97</v>
      </c>
      <c r="D449" s="60" t="s">
        <v>37</v>
      </c>
    </row>
    <row r="450" spans="1:4" x14ac:dyDescent="0.3">
      <c r="A450" s="57">
        <v>267</v>
      </c>
      <c r="B450" s="58">
        <v>192</v>
      </c>
      <c r="C450" s="59" t="s">
        <v>97</v>
      </c>
      <c r="D450" s="60" t="s">
        <v>37</v>
      </c>
    </row>
    <row r="451" spans="1:4" x14ac:dyDescent="0.3">
      <c r="A451" s="57">
        <v>268</v>
      </c>
      <c r="B451" s="58">
        <v>193</v>
      </c>
      <c r="C451" s="59" t="s">
        <v>97</v>
      </c>
      <c r="D451" s="60" t="s">
        <v>277</v>
      </c>
    </row>
    <row r="452" spans="1:4" x14ac:dyDescent="0.3">
      <c r="A452" s="57">
        <v>269</v>
      </c>
      <c r="B452" s="58">
        <v>194</v>
      </c>
      <c r="C452" s="59" t="s">
        <v>97</v>
      </c>
      <c r="D452" s="60" t="s">
        <v>37</v>
      </c>
    </row>
    <row r="453" spans="1:4" x14ac:dyDescent="0.3">
      <c r="A453" s="57">
        <v>270</v>
      </c>
      <c r="B453" s="58">
        <v>196</v>
      </c>
      <c r="C453" s="59" t="s">
        <v>97</v>
      </c>
      <c r="D453" s="60" t="s">
        <v>277</v>
      </c>
    </row>
    <row r="454" spans="1:4" x14ac:dyDescent="0.3">
      <c r="A454" s="57">
        <v>271</v>
      </c>
      <c r="B454" s="58">
        <v>1088</v>
      </c>
      <c r="C454" s="59" t="s">
        <v>97</v>
      </c>
      <c r="D454" s="60" t="s">
        <v>37</v>
      </c>
    </row>
    <row r="455" spans="1:4" x14ac:dyDescent="0.3">
      <c r="A455" s="57">
        <v>272</v>
      </c>
      <c r="B455" s="58">
        <v>1089</v>
      </c>
      <c r="C455" s="59" t="s">
        <v>97</v>
      </c>
      <c r="D455" s="60" t="s">
        <v>37</v>
      </c>
    </row>
    <row r="456" spans="1:4" x14ac:dyDescent="0.3">
      <c r="A456" s="57">
        <v>273</v>
      </c>
      <c r="B456" s="58">
        <v>1090</v>
      </c>
      <c r="C456" s="59" t="s">
        <v>97</v>
      </c>
      <c r="D456" s="60" t="s">
        <v>37</v>
      </c>
    </row>
    <row r="457" spans="1:4" x14ac:dyDescent="0.3">
      <c r="A457" s="57">
        <v>274</v>
      </c>
      <c r="B457" s="58">
        <v>1115</v>
      </c>
      <c r="C457" s="59" t="s">
        <v>97</v>
      </c>
      <c r="D457" s="60" t="s">
        <v>37</v>
      </c>
    </row>
    <row r="458" spans="1:4" x14ac:dyDescent="0.3">
      <c r="A458" s="57">
        <v>276</v>
      </c>
      <c r="B458" s="58">
        <v>1347</v>
      </c>
      <c r="C458" s="59" t="s">
        <v>97</v>
      </c>
      <c r="D458" s="60" t="s">
        <v>37</v>
      </c>
    </row>
    <row r="459" spans="1:4" x14ac:dyDescent="0.3">
      <c r="A459" s="57">
        <v>277</v>
      </c>
      <c r="B459" s="58">
        <v>52</v>
      </c>
      <c r="C459" s="59" t="s">
        <v>98</v>
      </c>
      <c r="D459" s="60" t="s">
        <v>37</v>
      </c>
    </row>
    <row r="460" spans="1:4" x14ac:dyDescent="0.3">
      <c r="A460" s="57">
        <v>278</v>
      </c>
      <c r="B460" s="58">
        <v>105</v>
      </c>
      <c r="C460" s="59" t="s">
        <v>99</v>
      </c>
      <c r="D460" s="60" t="s">
        <v>37</v>
      </c>
    </row>
    <row r="461" spans="1:4" x14ac:dyDescent="0.3">
      <c r="A461" s="57">
        <v>279</v>
      </c>
      <c r="B461" s="58">
        <v>16</v>
      </c>
      <c r="C461" s="59" t="s">
        <v>100</v>
      </c>
      <c r="D461" s="60" t="s">
        <v>37</v>
      </c>
    </row>
    <row r="462" spans="1:4" x14ac:dyDescent="0.3">
      <c r="A462" s="57">
        <v>280</v>
      </c>
      <c r="B462" s="58">
        <v>170</v>
      </c>
      <c r="C462" s="59" t="s">
        <v>101</v>
      </c>
      <c r="D462" s="60" t="s">
        <v>275</v>
      </c>
    </row>
    <row r="463" spans="1:4" x14ac:dyDescent="0.3">
      <c r="A463" s="57">
        <v>281</v>
      </c>
      <c r="B463" s="58">
        <v>11</v>
      </c>
      <c r="C463" s="59" t="s">
        <v>102</v>
      </c>
      <c r="D463" s="60">
        <v>2</v>
      </c>
    </row>
    <row r="464" spans="1:4" x14ac:dyDescent="0.3">
      <c r="A464" s="57">
        <v>281</v>
      </c>
      <c r="B464" s="58">
        <v>95</v>
      </c>
      <c r="C464" s="59" t="s">
        <v>102</v>
      </c>
      <c r="D464" s="60">
        <v>1</v>
      </c>
    </row>
    <row r="465" spans="1:4" x14ac:dyDescent="0.3">
      <c r="A465" s="57">
        <v>283</v>
      </c>
      <c r="B465" s="58">
        <v>1016</v>
      </c>
      <c r="C465" s="59" t="s">
        <v>103</v>
      </c>
      <c r="D465" s="60">
        <v>1</v>
      </c>
    </row>
    <row r="466" spans="1:4" x14ac:dyDescent="0.3">
      <c r="A466" s="57">
        <v>283</v>
      </c>
      <c r="B466" s="58">
        <v>1017</v>
      </c>
      <c r="C466" s="59" t="s">
        <v>103</v>
      </c>
      <c r="D466" s="60">
        <v>2</v>
      </c>
    </row>
    <row r="467" spans="1:4" x14ac:dyDescent="0.3">
      <c r="A467" s="57">
        <v>284</v>
      </c>
      <c r="B467" s="58">
        <v>177</v>
      </c>
      <c r="C467" s="59" t="s">
        <v>44</v>
      </c>
      <c r="D467" s="60" t="s">
        <v>37</v>
      </c>
    </row>
    <row r="468" spans="1:4" x14ac:dyDescent="0.3">
      <c r="A468" s="57">
        <v>285</v>
      </c>
      <c r="B468" s="58">
        <v>178</v>
      </c>
      <c r="C468" s="59" t="s">
        <v>44</v>
      </c>
      <c r="D468" s="60" t="s">
        <v>275</v>
      </c>
    </row>
    <row r="469" spans="1:4" x14ac:dyDescent="0.3">
      <c r="A469" s="57">
        <v>286</v>
      </c>
      <c r="B469" s="58">
        <v>103</v>
      </c>
      <c r="C469" s="59" t="s">
        <v>104</v>
      </c>
      <c r="D469" s="60" t="s">
        <v>37</v>
      </c>
    </row>
    <row r="470" spans="1:4" x14ac:dyDescent="0.3">
      <c r="A470" s="57">
        <v>287</v>
      </c>
      <c r="B470" s="58">
        <v>1364</v>
      </c>
      <c r="C470" s="59" t="s">
        <v>105</v>
      </c>
      <c r="D470" s="60" t="s">
        <v>37</v>
      </c>
    </row>
    <row r="471" spans="1:4" x14ac:dyDescent="0.3">
      <c r="A471" s="57">
        <v>287</v>
      </c>
      <c r="B471" s="58">
        <v>1402</v>
      </c>
      <c r="C471" s="59" t="s">
        <v>105</v>
      </c>
      <c r="D471" s="60" t="s">
        <v>37</v>
      </c>
    </row>
    <row r="472" spans="1:4" x14ac:dyDescent="0.3">
      <c r="A472" s="57">
        <v>288</v>
      </c>
      <c r="B472" s="58">
        <v>1036</v>
      </c>
      <c r="C472" s="59" t="s">
        <v>106</v>
      </c>
      <c r="D472" s="60" t="s">
        <v>37</v>
      </c>
    </row>
    <row r="473" spans="1:4" x14ac:dyDescent="0.3">
      <c r="A473" s="57">
        <v>289</v>
      </c>
      <c r="B473" s="58">
        <v>1041</v>
      </c>
      <c r="C473" s="59" t="s">
        <v>106</v>
      </c>
      <c r="D473" s="60" t="s">
        <v>37</v>
      </c>
    </row>
    <row r="474" spans="1:4" x14ac:dyDescent="0.3">
      <c r="A474" s="57">
        <v>290</v>
      </c>
      <c r="B474" s="58">
        <v>1050</v>
      </c>
      <c r="C474" s="59" t="s">
        <v>106</v>
      </c>
      <c r="D474" s="60" t="s">
        <v>37</v>
      </c>
    </row>
    <row r="475" spans="1:4" x14ac:dyDescent="0.3">
      <c r="A475" s="57">
        <v>291</v>
      </c>
      <c r="B475" s="58">
        <v>1051</v>
      </c>
      <c r="C475" s="59" t="s">
        <v>106</v>
      </c>
      <c r="D475" s="60" t="s">
        <v>37</v>
      </c>
    </row>
    <row r="476" spans="1:4" x14ac:dyDescent="0.3">
      <c r="A476" s="57">
        <v>292</v>
      </c>
      <c r="B476" s="58">
        <v>1052</v>
      </c>
      <c r="C476" s="59" t="s">
        <v>106</v>
      </c>
      <c r="D476" s="60" t="s">
        <v>37</v>
      </c>
    </row>
    <row r="477" spans="1:4" x14ac:dyDescent="0.3">
      <c r="A477" s="57">
        <v>297</v>
      </c>
      <c r="B477" s="58">
        <v>1367</v>
      </c>
      <c r="C477" s="59" t="s">
        <v>106</v>
      </c>
      <c r="D477" s="60" t="s">
        <v>37</v>
      </c>
    </row>
    <row r="478" spans="1:4" x14ac:dyDescent="0.3">
      <c r="A478" s="57">
        <v>298</v>
      </c>
      <c r="B478" s="58">
        <v>1368</v>
      </c>
      <c r="C478" s="59" t="s">
        <v>106</v>
      </c>
      <c r="D478" s="60" t="s">
        <v>37</v>
      </c>
    </row>
    <row r="479" spans="1:4" x14ac:dyDescent="0.3">
      <c r="A479" s="57">
        <v>299</v>
      </c>
      <c r="B479" s="58">
        <v>1053</v>
      </c>
      <c r="C479" s="59" t="s">
        <v>106</v>
      </c>
      <c r="D479" s="60" t="s">
        <v>37</v>
      </c>
    </row>
    <row r="480" spans="1:4" x14ac:dyDescent="0.3">
      <c r="A480" s="57">
        <v>300</v>
      </c>
      <c r="B480" s="58">
        <v>1080</v>
      </c>
      <c r="C480" s="59" t="s">
        <v>107</v>
      </c>
      <c r="D480" s="60">
        <v>1</v>
      </c>
    </row>
    <row r="481" spans="1:4" x14ac:dyDescent="0.3">
      <c r="A481" s="57">
        <v>300</v>
      </c>
      <c r="B481" s="58">
        <v>1081</v>
      </c>
      <c r="C481" s="59" t="s">
        <v>107</v>
      </c>
      <c r="D481" s="60">
        <v>1</v>
      </c>
    </row>
    <row r="482" spans="1:4" x14ac:dyDescent="0.3">
      <c r="A482" s="57">
        <v>301</v>
      </c>
      <c r="B482" s="58">
        <v>1095</v>
      </c>
      <c r="C482" s="59" t="s">
        <v>108</v>
      </c>
      <c r="D482" s="60">
        <v>1</v>
      </c>
    </row>
    <row r="483" spans="1:4" x14ac:dyDescent="0.3">
      <c r="A483" s="57">
        <v>301</v>
      </c>
      <c r="B483" s="58">
        <v>1096</v>
      </c>
      <c r="C483" s="59" t="s">
        <v>108</v>
      </c>
      <c r="D483" s="60">
        <v>1</v>
      </c>
    </row>
    <row r="484" spans="1:4" x14ac:dyDescent="0.3">
      <c r="A484" s="57">
        <v>302</v>
      </c>
      <c r="B484" s="58">
        <v>1101</v>
      </c>
      <c r="C484" s="59" t="s">
        <v>109</v>
      </c>
      <c r="D484" s="60">
        <v>1</v>
      </c>
    </row>
    <row r="485" spans="1:4" x14ac:dyDescent="0.3">
      <c r="A485" s="57">
        <v>302</v>
      </c>
      <c r="B485" s="58">
        <v>1102</v>
      </c>
      <c r="C485" s="59" t="s">
        <v>109</v>
      </c>
      <c r="D485" s="60">
        <v>1</v>
      </c>
    </row>
    <row r="486" spans="1:4" x14ac:dyDescent="0.3">
      <c r="A486" s="57">
        <v>303</v>
      </c>
      <c r="B486" s="58">
        <v>1054</v>
      </c>
      <c r="C486" s="59" t="s">
        <v>106</v>
      </c>
      <c r="D486" s="60" t="s">
        <v>37</v>
      </c>
    </row>
    <row r="487" spans="1:4" x14ac:dyDescent="0.3">
      <c r="A487" s="57">
        <v>304</v>
      </c>
      <c r="B487" s="58">
        <v>1083</v>
      </c>
      <c r="C487" s="59" t="s">
        <v>106</v>
      </c>
      <c r="D487" s="60" t="s">
        <v>37</v>
      </c>
    </row>
    <row r="488" spans="1:4" x14ac:dyDescent="0.3">
      <c r="A488" s="57">
        <v>305</v>
      </c>
      <c r="B488" s="58">
        <v>1084</v>
      </c>
      <c r="C488" s="59" t="s">
        <v>110</v>
      </c>
      <c r="D488" s="60">
        <v>1</v>
      </c>
    </row>
    <row r="489" spans="1:4" x14ac:dyDescent="0.3">
      <c r="A489" s="57">
        <v>305</v>
      </c>
      <c r="B489" s="58">
        <v>1085</v>
      </c>
      <c r="C489" s="59" t="s">
        <v>110</v>
      </c>
      <c r="D489" s="60">
        <v>2</v>
      </c>
    </row>
    <row r="490" spans="1:4" x14ac:dyDescent="0.3">
      <c r="A490" s="57">
        <v>306</v>
      </c>
      <c r="B490" s="58">
        <v>1086</v>
      </c>
      <c r="C490" s="59" t="s">
        <v>110</v>
      </c>
      <c r="D490" s="60">
        <v>1</v>
      </c>
    </row>
    <row r="491" spans="1:4" x14ac:dyDescent="0.3">
      <c r="A491" s="57">
        <v>306</v>
      </c>
      <c r="B491" s="58">
        <v>1087</v>
      </c>
      <c r="C491" s="59" t="s">
        <v>110</v>
      </c>
      <c r="D491" s="60">
        <v>2</v>
      </c>
    </row>
    <row r="492" spans="1:4" x14ac:dyDescent="0.3">
      <c r="A492" s="57">
        <v>307</v>
      </c>
      <c r="B492" s="58">
        <v>1091</v>
      </c>
      <c r="C492" s="59" t="s">
        <v>110</v>
      </c>
      <c r="D492" s="60">
        <v>1</v>
      </c>
    </row>
    <row r="493" spans="1:4" x14ac:dyDescent="0.3">
      <c r="A493" s="57">
        <v>307</v>
      </c>
      <c r="B493" s="58">
        <v>1092</v>
      </c>
      <c r="C493" s="59" t="s">
        <v>110</v>
      </c>
      <c r="D493" s="60">
        <v>2</v>
      </c>
    </row>
    <row r="494" spans="1:4" x14ac:dyDescent="0.3">
      <c r="A494" s="57">
        <v>308</v>
      </c>
      <c r="B494" s="58">
        <v>1093</v>
      </c>
      <c r="C494" s="59" t="s">
        <v>110</v>
      </c>
      <c r="D494" s="60">
        <v>1</v>
      </c>
    </row>
    <row r="495" spans="1:4" x14ac:dyDescent="0.3">
      <c r="A495" s="57">
        <v>308</v>
      </c>
      <c r="B495" s="58">
        <v>1094</v>
      </c>
      <c r="C495" s="59" t="s">
        <v>110</v>
      </c>
      <c r="D495" s="60">
        <v>2</v>
      </c>
    </row>
    <row r="496" spans="1:4" x14ac:dyDescent="0.3">
      <c r="A496" s="57">
        <v>309</v>
      </c>
      <c r="B496" s="58">
        <v>1098</v>
      </c>
      <c r="C496" s="59" t="s">
        <v>111</v>
      </c>
      <c r="D496" s="60">
        <v>1</v>
      </c>
    </row>
    <row r="497" spans="1:4" x14ac:dyDescent="0.3">
      <c r="A497" s="57">
        <v>309</v>
      </c>
      <c r="B497" s="58">
        <v>1099</v>
      </c>
      <c r="C497" s="59" t="s">
        <v>111</v>
      </c>
      <c r="D497" s="60">
        <v>1</v>
      </c>
    </row>
    <row r="498" spans="1:4" x14ac:dyDescent="0.3">
      <c r="A498" s="57">
        <v>310</v>
      </c>
      <c r="B498" s="58">
        <v>1155</v>
      </c>
      <c r="C498" s="59" t="s">
        <v>112</v>
      </c>
      <c r="D498" s="60">
        <v>2</v>
      </c>
    </row>
    <row r="499" spans="1:4" x14ac:dyDescent="0.3">
      <c r="A499" s="57">
        <v>310</v>
      </c>
      <c r="B499" s="58">
        <v>1156</v>
      </c>
      <c r="C499" s="59" t="s">
        <v>112</v>
      </c>
      <c r="D499" s="60">
        <v>1</v>
      </c>
    </row>
    <row r="500" spans="1:4" x14ac:dyDescent="0.3">
      <c r="A500" s="57">
        <v>312</v>
      </c>
      <c r="B500" s="58">
        <v>1154</v>
      </c>
      <c r="C500" s="59" t="s">
        <v>113</v>
      </c>
      <c r="D500" s="60">
        <v>2</v>
      </c>
    </row>
    <row r="501" spans="1:4" x14ac:dyDescent="0.3">
      <c r="A501" s="57">
        <v>313</v>
      </c>
      <c r="B501" s="58">
        <v>1006</v>
      </c>
      <c r="C501" s="59" t="s">
        <v>114</v>
      </c>
      <c r="D501" s="60" t="s">
        <v>37</v>
      </c>
    </row>
    <row r="502" spans="1:4" x14ac:dyDescent="0.3">
      <c r="A502" s="57">
        <v>314</v>
      </c>
      <c r="B502" s="58">
        <v>104</v>
      </c>
      <c r="C502" s="59" t="s">
        <v>115</v>
      </c>
      <c r="D502" s="60" t="s">
        <v>275</v>
      </c>
    </row>
    <row r="503" spans="1:4" x14ac:dyDescent="0.3">
      <c r="A503" s="57">
        <v>315</v>
      </c>
      <c r="B503" s="58">
        <v>178</v>
      </c>
      <c r="C503" s="59" t="s">
        <v>116</v>
      </c>
      <c r="D503" s="60" t="s">
        <v>275</v>
      </c>
    </row>
    <row r="504" spans="1:4" x14ac:dyDescent="0.3">
      <c r="A504" s="57">
        <v>315</v>
      </c>
      <c r="B504" s="58">
        <v>227</v>
      </c>
      <c r="C504" s="59" t="s">
        <v>116</v>
      </c>
      <c r="D504" s="60" t="s">
        <v>275</v>
      </c>
    </row>
    <row r="505" spans="1:4" x14ac:dyDescent="0.3">
      <c r="A505" s="57">
        <v>316</v>
      </c>
      <c r="B505" s="58">
        <v>53</v>
      </c>
      <c r="C505" s="59" t="s">
        <v>117</v>
      </c>
      <c r="D505" s="60">
        <v>2</v>
      </c>
    </row>
    <row r="506" spans="1:4" x14ac:dyDescent="0.3">
      <c r="A506" s="57">
        <v>316</v>
      </c>
      <c r="B506" s="58">
        <v>198</v>
      </c>
      <c r="C506" s="59" t="s">
        <v>117</v>
      </c>
      <c r="D506" s="60">
        <v>1</v>
      </c>
    </row>
    <row r="507" spans="1:4" x14ac:dyDescent="0.3">
      <c r="A507" s="57">
        <v>317</v>
      </c>
      <c r="B507" s="58">
        <v>70</v>
      </c>
      <c r="C507" s="59" t="s">
        <v>117</v>
      </c>
      <c r="D507" s="60" t="s">
        <v>280</v>
      </c>
    </row>
    <row r="508" spans="1:4" x14ac:dyDescent="0.3">
      <c r="A508" s="57">
        <v>317</v>
      </c>
      <c r="B508" s="58">
        <v>183</v>
      </c>
      <c r="C508" s="59" t="s">
        <v>117</v>
      </c>
      <c r="D508" s="60" t="s">
        <v>281</v>
      </c>
    </row>
    <row r="509" spans="1:4" x14ac:dyDescent="0.3">
      <c r="A509" s="57">
        <v>318</v>
      </c>
      <c r="B509" s="58">
        <v>74</v>
      </c>
      <c r="C509" s="59" t="s">
        <v>117</v>
      </c>
      <c r="D509" s="60">
        <v>1</v>
      </c>
    </row>
    <row r="510" spans="1:4" x14ac:dyDescent="0.3">
      <c r="A510" s="57">
        <v>318</v>
      </c>
      <c r="B510" s="58">
        <v>180</v>
      </c>
      <c r="C510" s="59" t="s">
        <v>117</v>
      </c>
      <c r="D510" s="60">
        <v>1</v>
      </c>
    </row>
    <row r="511" spans="1:4" x14ac:dyDescent="0.3">
      <c r="A511" s="57">
        <v>319</v>
      </c>
      <c r="B511" s="58">
        <v>71</v>
      </c>
      <c r="C511" s="59" t="s">
        <v>118</v>
      </c>
      <c r="D511" s="60" t="s">
        <v>284</v>
      </c>
    </row>
    <row r="512" spans="1:4" x14ac:dyDescent="0.3">
      <c r="A512" s="57">
        <v>319</v>
      </c>
      <c r="B512" s="58">
        <v>183</v>
      </c>
      <c r="C512" s="59" t="s">
        <v>118</v>
      </c>
      <c r="D512" s="60" t="s">
        <v>282</v>
      </c>
    </row>
    <row r="513" spans="1:4" x14ac:dyDescent="0.3">
      <c r="A513" s="57">
        <v>320</v>
      </c>
      <c r="B513" s="58">
        <v>72</v>
      </c>
      <c r="C513" s="59" t="s">
        <v>117</v>
      </c>
      <c r="D513" s="60">
        <v>2</v>
      </c>
    </row>
    <row r="514" spans="1:4" x14ac:dyDescent="0.3">
      <c r="A514" s="57">
        <v>320</v>
      </c>
      <c r="B514" s="58">
        <v>184</v>
      </c>
      <c r="C514" s="59" t="s">
        <v>117</v>
      </c>
      <c r="D514" s="60">
        <v>1</v>
      </c>
    </row>
    <row r="515" spans="1:4" x14ac:dyDescent="0.3">
      <c r="A515" s="57">
        <v>321</v>
      </c>
      <c r="B515" s="58">
        <v>1004</v>
      </c>
      <c r="C515" s="59" t="s">
        <v>117</v>
      </c>
      <c r="D515" s="60">
        <v>1</v>
      </c>
    </row>
    <row r="516" spans="1:4" x14ac:dyDescent="0.3">
      <c r="A516" s="57">
        <v>321</v>
      </c>
      <c r="B516" s="58">
        <v>1005</v>
      </c>
      <c r="C516" s="59" t="s">
        <v>117</v>
      </c>
      <c r="D516" s="60">
        <v>1</v>
      </c>
    </row>
    <row r="517" spans="1:4" x14ac:dyDescent="0.3">
      <c r="A517" s="57">
        <v>322</v>
      </c>
      <c r="B517" s="58">
        <v>1073</v>
      </c>
      <c r="C517" s="59" t="s">
        <v>117</v>
      </c>
      <c r="D517" s="60">
        <v>1</v>
      </c>
    </row>
    <row r="518" spans="1:4" x14ac:dyDescent="0.3">
      <c r="A518" s="57">
        <v>322</v>
      </c>
      <c r="B518" s="58">
        <v>1074</v>
      </c>
      <c r="C518" s="59" t="s">
        <v>117</v>
      </c>
      <c r="D518" s="60">
        <v>1</v>
      </c>
    </row>
    <row r="519" spans="1:4" x14ac:dyDescent="0.3">
      <c r="A519" s="57">
        <v>323</v>
      </c>
      <c r="B519" s="58">
        <v>1284</v>
      </c>
      <c r="C519" s="59" t="s">
        <v>117</v>
      </c>
      <c r="D519" s="60">
        <v>1</v>
      </c>
    </row>
    <row r="520" spans="1:4" x14ac:dyDescent="0.3">
      <c r="A520" s="57">
        <v>323</v>
      </c>
      <c r="B520" s="58">
        <v>1285</v>
      </c>
      <c r="C520" s="59" t="s">
        <v>117</v>
      </c>
      <c r="D520" s="60" t="s">
        <v>283</v>
      </c>
    </row>
    <row r="521" spans="1:4" x14ac:dyDescent="0.3">
      <c r="A521" s="57">
        <v>324</v>
      </c>
      <c r="B521" s="58">
        <v>1007</v>
      </c>
      <c r="C521" s="59" t="s">
        <v>119</v>
      </c>
      <c r="D521" s="60">
        <v>1</v>
      </c>
    </row>
    <row r="522" spans="1:4" x14ac:dyDescent="0.3">
      <c r="A522" s="57">
        <v>325</v>
      </c>
      <c r="B522" s="58">
        <v>183</v>
      </c>
      <c r="C522" s="59" t="s">
        <v>120</v>
      </c>
      <c r="D522" s="60">
        <v>1</v>
      </c>
    </row>
    <row r="523" spans="1:4" x14ac:dyDescent="0.3">
      <c r="A523" s="57">
        <v>325</v>
      </c>
      <c r="B523" s="58">
        <v>186</v>
      </c>
      <c r="C523" s="59" t="s">
        <v>120</v>
      </c>
      <c r="D523" s="60">
        <v>1</v>
      </c>
    </row>
    <row r="524" spans="1:4" x14ac:dyDescent="0.3">
      <c r="A524" s="57">
        <v>325</v>
      </c>
      <c r="B524" s="58">
        <v>206</v>
      </c>
      <c r="C524" s="59" t="s">
        <v>120</v>
      </c>
      <c r="D524" s="60">
        <v>2</v>
      </c>
    </row>
    <row r="525" spans="1:4" x14ac:dyDescent="0.3">
      <c r="A525" s="57">
        <v>326</v>
      </c>
      <c r="B525" s="58">
        <v>184</v>
      </c>
      <c r="C525" s="59" t="s">
        <v>120</v>
      </c>
      <c r="D525" s="60">
        <v>1</v>
      </c>
    </row>
    <row r="526" spans="1:4" x14ac:dyDescent="0.3">
      <c r="A526" s="57">
        <v>326</v>
      </c>
      <c r="B526" s="58">
        <v>187</v>
      </c>
      <c r="C526" s="59" t="s">
        <v>120</v>
      </c>
      <c r="D526" s="60" t="s">
        <v>280</v>
      </c>
    </row>
    <row r="527" spans="1:4" x14ac:dyDescent="0.3">
      <c r="A527" s="57">
        <v>326</v>
      </c>
      <c r="B527" s="58">
        <v>210</v>
      </c>
      <c r="C527" s="59" t="s">
        <v>120</v>
      </c>
      <c r="D527" s="60" t="s">
        <v>280</v>
      </c>
    </row>
    <row r="528" spans="1:4" x14ac:dyDescent="0.3">
      <c r="A528" s="57">
        <v>327</v>
      </c>
      <c r="B528" s="58">
        <v>135</v>
      </c>
      <c r="C528" s="59" t="s">
        <v>120</v>
      </c>
      <c r="D528" s="60">
        <v>1</v>
      </c>
    </row>
    <row r="529" spans="1:4" x14ac:dyDescent="0.3">
      <c r="A529" s="57">
        <v>327</v>
      </c>
      <c r="B529" s="58">
        <v>198</v>
      </c>
      <c r="C529" s="59" t="s">
        <v>120</v>
      </c>
      <c r="D529" s="60">
        <v>1</v>
      </c>
    </row>
    <row r="530" spans="1:4" x14ac:dyDescent="0.3">
      <c r="A530" s="57">
        <v>327</v>
      </c>
      <c r="B530" s="58">
        <v>222</v>
      </c>
      <c r="C530" s="59" t="s">
        <v>120</v>
      </c>
      <c r="D530" s="60">
        <v>2</v>
      </c>
    </row>
    <row r="531" spans="1:4" x14ac:dyDescent="0.3">
      <c r="A531" s="57">
        <v>328</v>
      </c>
      <c r="B531" s="58">
        <v>1022</v>
      </c>
      <c r="C531" s="59" t="s">
        <v>120</v>
      </c>
      <c r="D531" s="60">
        <v>1</v>
      </c>
    </row>
    <row r="532" spans="1:4" x14ac:dyDescent="0.3">
      <c r="A532" s="57">
        <v>328</v>
      </c>
      <c r="B532" s="58">
        <v>1023</v>
      </c>
      <c r="C532" s="59" t="s">
        <v>120</v>
      </c>
      <c r="D532" s="60">
        <v>2</v>
      </c>
    </row>
    <row r="533" spans="1:4" x14ac:dyDescent="0.3">
      <c r="A533" s="57">
        <v>328</v>
      </c>
      <c r="B533" s="58">
        <v>1024</v>
      </c>
      <c r="C533" s="59" t="s">
        <v>120</v>
      </c>
      <c r="D533" s="60">
        <v>1</v>
      </c>
    </row>
    <row r="534" spans="1:4" x14ac:dyDescent="0.3">
      <c r="A534" s="57">
        <v>329</v>
      </c>
      <c r="B534" s="58">
        <v>1027</v>
      </c>
      <c r="C534" s="59" t="s">
        <v>120</v>
      </c>
      <c r="D534" s="60">
        <v>1</v>
      </c>
    </row>
    <row r="535" spans="1:4" x14ac:dyDescent="0.3">
      <c r="A535" s="57">
        <v>329</v>
      </c>
      <c r="B535" s="58">
        <v>1028</v>
      </c>
      <c r="C535" s="59" t="s">
        <v>120</v>
      </c>
      <c r="D535" s="60">
        <v>2</v>
      </c>
    </row>
    <row r="536" spans="1:4" x14ac:dyDescent="0.3">
      <c r="A536" s="57">
        <v>329</v>
      </c>
      <c r="B536" s="58">
        <v>1029</v>
      </c>
      <c r="C536" s="59" t="s">
        <v>120</v>
      </c>
      <c r="D536" s="60">
        <v>1</v>
      </c>
    </row>
    <row r="537" spans="1:4" x14ac:dyDescent="0.3">
      <c r="A537" s="57">
        <v>330</v>
      </c>
      <c r="B537" s="58">
        <v>1075</v>
      </c>
      <c r="C537" s="59" t="s">
        <v>120</v>
      </c>
      <c r="D537" s="60">
        <v>2</v>
      </c>
    </row>
    <row r="538" spans="1:4" x14ac:dyDescent="0.3">
      <c r="A538" s="57">
        <v>330</v>
      </c>
      <c r="B538" s="58">
        <v>1076</v>
      </c>
      <c r="C538" s="59" t="s">
        <v>120</v>
      </c>
      <c r="D538" s="60">
        <v>1</v>
      </c>
    </row>
    <row r="539" spans="1:4" x14ac:dyDescent="0.3">
      <c r="A539" s="57">
        <v>330</v>
      </c>
      <c r="B539" s="58">
        <v>1077</v>
      </c>
      <c r="C539" s="59" t="s">
        <v>120</v>
      </c>
      <c r="D539" s="60">
        <v>2</v>
      </c>
    </row>
    <row r="540" spans="1:4" x14ac:dyDescent="0.3">
      <c r="A540" s="57">
        <v>331</v>
      </c>
      <c r="B540" s="58">
        <v>1167</v>
      </c>
      <c r="C540" s="59" t="s">
        <v>120</v>
      </c>
      <c r="D540" s="60">
        <v>1</v>
      </c>
    </row>
    <row r="541" spans="1:4" x14ac:dyDescent="0.3">
      <c r="A541" s="57">
        <v>331</v>
      </c>
      <c r="B541" s="58">
        <v>1168</v>
      </c>
      <c r="C541" s="59" t="s">
        <v>120</v>
      </c>
      <c r="D541" s="60">
        <v>1</v>
      </c>
    </row>
    <row r="542" spans="1:4" x14ac:dyDescent="0.3">
      <c r="A542" s="57">
        <v>331</v>
      </c>
      <c r="B542" s="58">
        <v>1169</v>
      </c>
      <c r="C542" s="59" t="s">
        <v>120</v>
      </c>
      <c r="D542" s="60">
        <v>2</v>
      </c>
    </row>
    <row r="543" spans="1:4" x14ac:dyDescent="0.3">
      <c r="A543" s="57">
        <v>332</v>
      </c>
      <c r="B543" s="58">
        <v>1235</v>
      </c>
      <c r="C543" s="59" t="s">
        <v>120</v>
      </c>
      <c r="D543" s="60" t="s">
        <v>275</v>
      </c>
    </row>
    <row r="544" spans="1:4" x14ac:dyDescent="0.3">
      <c r="A544" s="57">
        <v>332</v>
      </c>
      <c r="B544" s="58">
        <v>1236</v>
      </c>
      <c r="C544" s="59" t="s">
        <v>120</v>
      </c>
      <c r="D544" s="60" t="s">
        <v>275</v>
      </c>
    </row>
    <row r="545" spans="1:4" x14ac:dyDescent="0.3">
      <c r="A545" s="57">
        <v>332</v>
      </c>
      <c r="B545" s="58">
        <v>1237</v>
      </c>
      <c r="C545" s="59" t="s">
        <v>120</v>
      </c>
      <c r="D545" s="60" t="s">
        <v>275</v>
      </c>
    </row>
    <row r="546" spans="1:4" x14ac:dyDescent="0.3">
      <c r="A546" s="57">
        <v>334</v>
      </c>
      <c r="B546" s="58">
        <v>1131</v>
      </c>
      <c r="C546" s="59" t="s">
        <v>121</v>
      </c>
      <c r="D546" s="60">
        <v>1</v>
      </c>
    </row>
    <row r="547" spans="1:4" x14ac:dyDescent="0.3">
      <c r="A547" s="57">
        <v>334</v>
      </c>
      <c r="B547" s="58">
        <v>1132</v>
      </c>
      <c r="C547" s="59" t="s">
        <v>121</v>
      </c>
      <c r="D547" s="60">
        <v>1</v>
      </c>
    </row>
    <row r="548" spans="1:4" x14ac:dyDescent="0.3">
      <c r="A548" s="57">
        <v>334</v>
      </c>
      <c r="B548" s="58">
        <v>1133</v>
      </c>
      <c r="C548" s="59" t="s">
        <v>121</v>
      </c>
      <c r="D548" s="60">
        <v>2</v>
      </c>
    </row>
    <row r="549" spans="1:4" x14ac:dyDescent="0.3">
      <c r="A549" s="57">
        <v>335</v>
      </c>
      <c r="B549" s="58">
        <v>18</v>
      </c>
      <c r="C549" s="59" t="s">
        <v>122</v>
      </c>
      <c r="D549" s="60">
        <v>1</v>
      </c>
    </row>
    <row r="550" spans="1:4" x14ac:dyDescent="0.3">
      <c r="A550" s="57">
        <v>336</v>
      </c>
      <c r="B550" s="58">
        <v>20</v>
      </c>
      <c r="C550" s="59" t="s">
        <v>123</v>
      </c>
      <c r="D550" s="60" t="s">
        <v>37</v>
      </c>
    </row>
    <row r="551" spans="1:4" x14ac:dyDescent="0.3">
      <c r="A551" s="57">
        <v>337</v>
      </c>
      <c r="B551" s="58">
        <v>82</v>
      </c>
      <c r="C551" s="59" t="s">
        <v>123</v>
      </c>
      <c r="D551" s="60" t="s">
        <v>37</v>
      </c>
    </row>
    <row r="552" spans="1:4" x14ac:dyDescent="0.3">
      <c r="A552" s="57">
        <v>338</v>
      </c>
      <c r="B552" s="58">
        <v>1365</v>
      </c>
      <c r="C552" s="59" t="s">
        <v>124</v>
      </c>
      <c r="D552" s="60">
        <v>2</v>
      </c>
    </row>
    <row r="553" spans="1:4" x14ac:dyDescent="0.3">
      <c r="A553" s="57">
        <v>338</v>
      </c>
      <c r="B553" s="58">
        <v>1366</v>
      </c>
      <c r="C553" s="59" t="s">
        <v>124</v>
      </c>
      <c r="D553" s="60">
        <v>1</v>
      </c>
    </row>
    <row r="554" spans="1:4" x14ac:dyDescent="0.3">
      <c r="A554" s="57">
        <v>339</v>
      </c>
      <c r="B554" s="58">
        <v>1025</v>
      </c>
      <c r="C554" s="59" t="s">
        <v>125</v>
      </c>
      <c r="D554" s="60" t="s">
        <v>37</v>
      </c>
    </row>
    <row r="555" spans="1:4" x14ac:dyDescent="0.3">
      <c r="A555" s="57">
        <v>340</v>
      </c>
      <c r="B555" s="58">
        <v>1030</v>
      </c>
      <c r="C555" s="59" t="s">
        <v>125</v>
      </c>
      <c r="D555" s="60" t="s">
        <v>37</v>
      </c>
    </row>
    <row r="556" spans="1:4" x14ac:dyDescent="0.3">
      <c r="A556" s="57">
        <v>341</v>
      </c>
      <c r="B556" s="58">
        <v>1032</v>
      </c>
      <c r="C556" s="59" t="s">
        <v>125</v>
      </c>
      <c r="D556" s="60" t="s">
        <v>37</v>
      </c>
    </row>
    <row r="557" spans="1:4" x14ac:dyDescent="0.3">
      <c r="A557" s="57">
        <v>342</v>
      </c>
      <c r="B557" s="58">
        <v>1123</v>
      </c>
      <c r="C557" s="59" t="s">
        <v>126</v>
      </c>
      <c r="D557" s="60">
        <v>2</v>
      </c>
    </row>
    <row r="558" spans="1:4" x14ac:dyDescent="0.3">
      <c r="A558" s="57">
        <v>343</v>
      </c>
      <c r="B558" s="58">
        <v>1134</v>
      </c>
      <c r="C558" s="59" t="s">
        <v>127</v>
      </c>
      <c r="D558" s="60">
        <v>2</v>
      </c>
    </row>
    <row r="559" spans="1:4" x14ac:dyDescent="0.3">
      <c r="A559" s="57">
        <v>344</v>
      </c>
      <c r="B559" s="58">
        <v>1135</v>
      </c>
      <c r="C559" s="59" t="s">
        <v>128</v>
      </c>
      <c r="D559" s="60">
        <v>1</v>
      </c>
    </row>
    <row r="560" spans="1:4" x14ac:dyDescent="0.3">
      <c r="A560" s="57">
        <v>344</v>
      </c>
      <c r="B560" s="58">
        <v>1136</v>
      </c>
      <c r="C560" s="59" t="s">
        <v>128</v>
      </c>
      <c r="D560" s="60" t="s">
        <v>37</v>
      </c>
    </row>
    <row r="561" spans="1:4" x14ac:dyDescent="0.3">
      <c r="A561" s="57">
        <v>344</v>
      </c>
      <c r="B561" s="58">
        <v>1137</v>
      </c>
      <c r="C561" s="59" t="s">
        <v>128</v>
      </c>
      <c r="D561" s="60">
        <v>2</v>
      </c>
    </row>
    <row r="562" spans="1:4" x14ac:dyDescent="0.3">
      <c r="A562" s="57">
        <v>345</v>
      </c>
      <c r="B562" s="58">
        <v>1138</v>
      </c>
      <c r="C562" s="59" t="s">
        <v>129</v>
      </c>
      <c r="D562" s="60">
        <v>2</v>
      </c>
    </row>
    <row r="563" spans="1:4" x14ac:dyDescent="0.3">
      <c r="A563" s="57">
        <v>346</v>
      </c>
      <c r="B563" s="58">
        <v>1130</v>
      </c>
      <c r="C563" s="59" t="s">
        <v>130</v>
      </c>
      <c r="D563" s="60" t="s">
        <v>277</v>
      </c>
    </row>
    <row r="564" spans="1:4" x14ac:dyDescent="0.3">
      <c r="A564" s="57">
        <v>347</v>
      </c>
      <c r="B564" s="58">
        <v>48</v>
      </c>
      <c r="C564" s="59" t="s">
        <v>131</v>
      </c>
      <c r="D564" s="60" t="s">
        <v>37</v>
      </c>
    </row>
    <row r="565" spans="1:4" x14ac:dyDescent="0.3">
      <c r="A565" s="57">
        <v>348</v>
      </c>
      <c r="B565" s="58">
        <v>49</v>
      </c>
      <c r="C565" s="59" t="s">
        <v>131</v>
      </c>
      <c r="D565" s="60" t="s">
        <v>37</v>
      </c>
    </row>
    <row r="566" spans="1:4" x14ac:dyDescent="0.3">
      <c r="A566" s="57">
        <v>349</v>
      </c>
      <c r="B566" s="58">
        <v>50</v>
      </c>
      <c r="C566" s="59" t="s">
        <v>75</v>
      </c>
      <c r="D566" s="60">
        <v>1</v>
      </c>
    </row>
    <row r="567" spans="1:4" x14ac:dyDescent="0.3">
      <c r="A567" s="57">
        <v>349</v>
      </c>
      <c r="B567" s="58">
        <v>222</v>
      </c>
      <c r="C567" s="59" t="s">
        <v>75</v>
      </c>
      <c r="D567" s="60">
        <v>2</v>
      </c>
    </row>
    <row r="568" spans="1:4" x14ac:dyDescent="0.3">
      <c r="A568" s="57">
        <v>350</v>
      </c>
      <c r="B568" s="58">
        <v>1047</v>
      </c>
      <c r="C568" s="59" t="s">
        <v>132</v>
      </c>
      <c r="D568" s="60" t="s">
        <v>37</v>
      </c>
    </row>
    <row r="569" spans="1:4" x14ac:dyDescent="0.3">
      <c r="A569" s="57">
        <v>351</v>
      </c>
      <c r="B569" s="58">
        <v>1082</v>
      </c>
      <c r="C569" s="59" t="s">
        <v>133</v>
      </c>
      <c r="D569" s="60">
        <v>1</v>
      </c>
    </row>
    <row r="570" spans="1:4" x14ac:dyDescent="0.3">
      <c r="A570" s="57">
        <v>352</v>
      </c>
      <c r="B570" s="58">
        <v>1097</v>
      </c>
      <c r="C570" s="59" t="s">
        <v>134</v>
      </c>
      <c r="D570" s="60">
        <v>1</v>
      </c>
    </row>
    <row r="571" spans="1:4" x14ac:dyDescent="0.3">
      <c r="A571" s="57">
        <v>353</v>
      </c>
      <c r="B571" s="58">
        <v>1103</v>
      </c>
      <c r="C571" s="59" t="s">
        <v>135</v>
      </c>
      <c r="D571" s="60">
        <v>1</v>
      </c>
    </row>
    <row r="572" spans="1:4" x14ac:dyDescent="0.3">
      <c r="A572" s="57">
        <v>354</v>
      </c>
      <c r="B572" s="58">
        <v>64</v>
      </c>
      <c r="C572" s="59" t="s">
        <v>51</v>
      </c>
      <c r="D572" s="60" t="s">
        <v>275</v>
      </c>
    </row>
    <row r="573" spans="1:4" x14ac:dyDescent="0.3">
      <c r="A573" s="57">
        <v>355</v>
      </c>
      <c r="B573" s="58">
        <v>1392</v>
      </c>
      <c r="C573" s="59" t="s">
        <v>136</v>
      </c>
      <c r="D573" s="60">
        <v>1</v>
      </c>
    </row>
    <row r="574" spans="1:4" x14ac:dyDescent="0.3">
      <c r="A574" s="57">
        <v>355</v>
      </c>
      <c r="B574" s="58">
        <v>1393</v>
      </c>
      <c r="C574" s="59" t="s">
        <v>136</v>
      </c>
      <c r="D574" s="60">
        <v>1</v>
      </c>
    </row>
    <row r="575" spans="1:4" x14ac:dyDescent="0.3">
      <c r="A575" s="57">
        <v>357</v>
      </c>
      <c r="B575" s="58">
        <v>1200</v>
      </c>
      <c r="C575" s="59" t="s">
        <v>137</v>
      </c>
      <c r="D575" s="60" t="s">
        <v>275</v>
      </c>
    </row>
    <row r="576" spans="1:4" x14ac:dyDescent="0.3">
      <c r="A576" s="57">
        <v>357</v>
      </c>
      <c r="B576" s="58">
        <v>1201</v>
      </c>
      <c r="C576" s="59" t="s">
        <v>137</v>
      </c>
      <c r="D576" s="60" t="s">
        <v>275</v>
      </c>
    </row>
    <row r="577" spans="1:4" x14ac:dyDescent="0.3">
      <c r="A577" s="57">
        <v>358</v>
      </c>
      <c r="B577" s="58">
        <v>1202</v>
      </c>
      <c r="C577" s="59" t="s">
        <v>137</v>
      </c>
      <c r="D577" s="60" t="s">
        <v>275</v>
      </c>
    </row>
    <row r="578" spans="1:4" x14ac:dyDescent="0.3">
      <c r="A578" s="57">
        <v>358</v>
      </c>
      <c r="B578" s="58">
        <v>1203</v>
      </c>
      <c r="C578" s="59" t="s">
        <v>137</v>
      </c>
      <c r="D578" s="60" t="s">
        <v>275</v>
      </c>
    </row>
    <row r="579" spans="1:4" x14ac:dyDescent="0.3">
      <c r="A579" s="57">
        <v>359</v>
      </c>
      <c r="B579" s="58">
        <v>1204</v>
      </c>
      <c r="C579" s="59" t="s">
        <v>137</v>
      </c>
      <c r="D579" s="60" t="s">
        <v>275</v>
      </c>
    </row>
    <row r="580" spans="1:4" x14ac:dyDescent="0.3">
      <c r="A580" s="57">
        <v>359</v>
      </c>
      <c r="B580" s="58">
        <v>1205</v>
      </c>
      <c r="C580" s="59" t="s">
        <v>137</v>
      </c>
      <c r="D580" s="60" t="s">
        <v>275</v>
      </c>
    </row>
    <row r="581" spans="1:4" x14ac:dyDescent="0.3">
      <c r="A581" s="57">
        <v>360</v>
      </c>
      <c r="B581" s="58">
        <v>1206</v>
      </c>
      <c r="C581" s="59" t="s">
        <v>137</v>
      </c>
      <c r="D581" s="60" t="s">
        <v>275</v>
      </c>
    </row>
    <row r="582" spans="1:4" x14ac:dyDescent="0.3">
      <c r="A582" s="57">
        <v>360</v>
      </c>
      <c r="B582" s="58">
        <v>1207</v>
      </c>
      <c r="C582" s="59" t="s">
        <v>137</v>
      </c>
      <c r="D582" s="60" t="s">
        <v>275</v>
      </c>
    </row>
    <row r="583" spans="1:4" x14ac:dyDescent="0.3">
      <c r="A583" s="57">
        <v>361</v>
      </c>
      <c r="B583" s="58">
        <v>1208</v>
      </c>
      <c r="C583" s="59" t="s">
        <v>137</v>
      </c>
      <c r="D583" s="60" t="s">
        <v>275</v>
      </c>
    </row>
    <row r="584" spans="1:4" x14ac:dyDescent="0.3">
      <c r="A584" s="57">
        <v>361</v>
      </c>
      <c r="B584" s="58">
        <v>1209</v>
      </c>
      <c r="C584" s="59" t="s">
        <v>137</v>
      </c>
      <c r="D584" s="60" t="s">
        <v>275</v>
      </c>
    </row>
    <row r="585" spans="1:4" x14ac:dyDescent="0.3">
      <c r="A585" s="57">
        <v>362</v>
      </c>
      <c r="B585" s="58">
        <v>1210</v>
      </c>
      <c r="C585" s="59" t="s">
        <v>137</v>
      </c>
      <c r="D585" s="60" t="s">
        <v>275</v>
      </c>
    </row>
    <row r="586" spans="1:4" x14ac:dyDescent="0.3">
      <c r="A586" s="57">
        <v>362</v>
      </c>
      <c r="B586" s="58">
        <v>1211</v>
      </c>
      <c r="C586" s="59" t="s">
        <v>137</v>
      </c>
      <c r="D586" s="60" t="s">
        <v>275</v>
      </c>
    </row>
    <row r="587" spans="1:4" x14ac:dyDescent="0.3">
      <c r="A587" s="57">
        <v>363</v>
      </c>
      <c r="B587" s="58">
        <v>1212</v>
      </c>
      <c r="C587" s="59" t="s">
        <v>137</v>
      </c>
      <c r="D587" s="60" t="s">
        <v>275</v>
      </c>
    </row>
    <row r="588" spans="1:4" x14ac:dyDescent="0.3">
      <c r="A588" s="57">
        <v>363</v>
      </c>
      <c r="B588" s="58">
        <v>1213</v>
      </c>
      <c r="C588" s="59" t="s">
        <v>137</v>
      </c>
      <c r="D588" s="60" t="s">
        <v>275</v>
      </c>
    </row>
    <row r="589" spans="1:4" x14ac:dyDescent="0.3">
      <c r="A589" s="57">
        <v>364</v>
      </c>
      <c r="B589" s="58">
        <v>1214</v>
      </c>
      <c r="C589" s="59" t="s">
        <v>137</v>
      </c>
      <c r="D589" s="60" t="s">
        <v>275</v>
      </c>
    </row>
    <row r="590" spans="1:4" x14ac:dyDescent="0.3">
      <c r="A590" s="57">
        <v>364</v>
      </c>
      <c r="B590" s="58">
        <v>1215</v>
      </c>
      <c r="C590" s="59" t="s">
        <v>137</v>
      </c>
      <c r="D590" s="60" t="s">
        <v>275</v>
      </c>
    </row>
    <row r="591" spans="1:4" x14ac:dyDescent="0.3">
      <c r="A591" s="57">
        <v>365</v>
      </c>
      <c r="B591" s="58">
        <v>1216</v>
      </c>
      <c r="C591" s="59" t="s">
        <v>137</v>
      </c>
      <c r="D591" s="60" t="s">
        <v>275</v>
      </c>
    </row>
    <row r="592" spans="1:4" x14ac:dyDescent="0.3">
      <c r="A592" s="57">
        <v>365</v>
      </c>
      <c r="B592" s="58">
        <v>1217</v>
      </c>
      <c r="C592" s="59" t="s">
        <v>137</v>
      </c>
      <c r="D592" s="60" t="s">
        <v>275</v>
      </c>
    </row>
    <row r="593" spans="1:4" x14ac:dyDescent="0.3">
      <c r="A593" s="57">
        <v>366</v>
      </c>
      <c r="B593" s="58">
        <v>1218</v>
      </c>
      <c r="C593" s="59" t="s">
        <v>137</v>
      </c>
      <c r="D593" s="60" t="s">
        <v>275</v>
      </c>
    </row>
    <row r="594" spans="1:4" x14ac:dyDescent="0.3">
      <c r="A594" s="57">
        <v>366</v>
      </c>
      <c r="B594" s="58">
        <v>1219</v>
      </c>
      <c r="C594" s="59" t="s">
        <v>137</v>
      </c>
      <c r="D594" s="60" t="s">
        <v>275</v>
      </c>
    </row>
    <row r="595" spans="1:4" x14ac:dyDescent="0.3">
      <c r="A595" s="57">
        <v>367</v>
      </c>
      <c r="B595" s="58">
        <v>1220</v>
      </c>
      <c r="C595" s="59" t="s">
        <v>137</v>
      </c>
      <c r="D595" s="60" t="s">
        <v>275</v>
      </c>
    </row>
    <row r="596" spans="1:4" x14ac:dyDescent="0.3">
      <c r="A596" s="57">
        <v>367</v>
      </c>
      <c r="B596" s="58">
        <v>1221</v>
      </c>
      <c r="C596" s="59" t="s">
        <v>137</v>
      </c>
      <c r="D596" s="60" t="s">
        <v>275</v>
      </c>
    </row>
    <row r="597" spans="1:4" x14ac:dyDescent="0.3">
      <c r="A597" s="57">
        <v>368</v>
      </c>
      <c r="B597" s="58">
        <v>1222</v>
      </c>
      <c r="C597" s="59" t="s">
        <v>137</v>
      </c>
      <c r="D597" s="60" t="s">
        <v>275</v>
      </c>
    </row>
    <row r="598" spans="1:4" x14ac:dyDescent="0.3">
      <c r="A598" s="57">
        <v>368</v>
      </c>
      <c r="B598" s="58">
        <v>1223</v>
      </c>
      <c r="C598" s="59" t="s">
        <v>137</v>
      </c>
      <c r="D598" s="60" t="s">
        <v>275</v>
      </c>
    </row>
    <row r="599" spans="1:4" x14ac:dyDescent="0.3">
      <c r="A599" s="57">
        <v>369</v>
      </c>
      <c r="B599" s="58">
        <v>1224</v>
      </c>
      <c r="C599" s="59" t="s">
        <v>137</v>
      </c>
      <c r="D599" s="60" t="s">
        <v>275</v>
      </c>
    </row>
    <row r="600" spans="1:4" x14ac:dyDescent="0.3">
      <c r="A600" s="57">
        <v>369</v>
      </c>
      <c r="B600" s="58">
        <v>1225</v>
      </c>
      <c r="C600" s="59" t="s">
        <v>137</v>
      </c>
      <c r="D600" s="60" t="s">
        <v>275</v>
      </c>
    </row>
    <row r="601" spans="1:4" x14ac:dyDescent="0.3">
      <c r="A601" s="57">
        <v>370</v>
      </c>
      <c r="B601" s="58">
        <v>1226</v>
      </c>
      <c r="C601" s="59" t="s">
        <v>137</v>
      </c>
      <c r="D601" s="60" t="s">
        <v>275</v>
      </c>
    </row>
    <row r="602" spans="1:4" x14ac:dyDescent="0.3">
      <c r="A602" s="57">
        <v>370</v>
      </c>
      <c r="B602" s="58">
        <v>1227</v>
      </c>
      <c r="C602" s="59" t="s">
        <v>137</v>
      </c>
      <c r="D602" s="60" t="s">
        <v>275</v>
      </c>
    </row>
    <row r="603" spans="1:4" x14ac:dyDescent="0.3">
      <c r="A603" s="57">
        <v>371</v>
      </c>
      <c r="B603" s="58">
        <v>1228</v>
      </c>
      <c r="C603" s="59" t="s">
        <v>137</v>
      </c>
      <c r="D603" s="60" t="s">
        <v>275</v>
      </c>
    </row>
    <row r="604" spans="1:4" x14ac:dyDescent="0.3">
      <c r="A604" s="57">
        <v>371</v>
      </c>
      <c r="B604" s="58">
        <v>1229</v>
      </c>
      <c r="C604" s="59" t="s">
        <v>137</v>
      </c>
      <c r="D604" s="60" t="s">
        <v>275</v>
      </c>
    </row>
    <row r="605" spans="1:4" x14ac:dyDescent="0.3">
      <c r="A605" s="57">
        <v>372</v>
      </c>
      <c r="B605" s="58">
        <v>1180</v>
      </c>
      <c r="C605" s="59" t="s">
        <v>117</v>
      </c>
      <c r="D605" s="60">
        <v>1</v>
      </c>
    </row>
    <row r="606" spans="1:4" x14ac:dyDescent="0.3">
      <c r="A606" s="57">
        <v>372</v>
      </c>
      <c r="B606" s="58">
        <v>1181</v>
      </c>
      <c r="C606" s="59" t="s">
        <v>117</v>
      </c>
      <c r="D606" s="60">
        <v>1</v>
      </c>
    </row>
    <row r="607" spans="1:4" x14ac:dyDescent="0.3">
      <c r="A607" s="57">
        <v>373</v>
      </c>
      <c r="B607" s="58">
        <v>31</v>
      </c>
      <c r="C607" s="59" t="s">
        <v>63</v>
      </c>
      <c r="D607" s="60">
        <v>1</v>
      </c>
    </row>
    <row r="608" spans="1:4" x14ac:dyDescent="0.3">
      <c r="A608" s="57">
        <v>373</v>
      </c>
      <c r="B608" s="58">
        <v>213</v>
      </c>
      <c r="C608" s="59" t="s">
        <v>63</v>
      </c>
      <c r="D608" s="60">
        <v>2</v>
      </c>
    </row>
    <row r="609" spans="1:4" x14ac:dyDescent="0.3">
      <c r="A609" s="57">
        <v>374</v>
      </c>
      <c r="B609" s="58">
        <v>30</v>
      </c>
      <c r="C609" s="59" t="s">
        <v>63</v>
      </c>
      <c r="D609" s="60">
        <v>1</v>
      </c>
    </row>
    <row r="610" spans="1:4" x14ac:dyDescent="0.3">
      <c r="A610" s="57">
        <v>374</v>
      </c>
      <c r="B610" s="58">
        <v>214</v>
      </c>
      <c r="C610" s="59" t="s">
        <v>63</v>
      </c>
      <c r="D610" s="60">
        <v>2</v>
      </c>
    </row>
    <row r="611" spans="1:4" x14ac:dyDescent="0.3">
      <c r="A611" s="57">
        <v>375</v>
      </c>
      <c r="B611" s="58">
        <v>32</v>
      </c>
      <c r="C611" s="59" t="s">
        <v>63</v>
      </c>
      <c r="D611" s="60">
        <v>1</v>
      </c>
    </row>
    <row r="612" spans="1:4" x14ac:dyDescent="0.3">
      <c r="A612" s="57">
        <v>375</v>
      </c>
      <c r="B612" s="58">
        <v>215</v>
      </c>
      <c r="C612" s="59" t="s">
        <v>63</v>
      </c>
      <c r="D612" s="60">
        <v>2</v>
      </c>
    </row>
    <row r="613" spans="1:4" x14ac:dyDescent="0.3">
      <c r="A613" s="57">
        <v>376</v>
      </c>
      <c r="B613" s="58">
        <v>34</v>
      </c>
      <c r="C613" s="59" t="s">
        <v>63</v>
      </c>
      <c r="D613" s="60">
        <v>1</v>
      </c>
    </row>
    <row r="614" spans="1:4" x14ac:dyDescent="0.3">
      <c r="A614" s="57">
        <v>376</v>
      </c>
      <c r="B614" s="58">
        <v>216</v>
      </c>
      <c r="C614" s="59" t="s">
        <v>63</v>
      </c>
      <c r="D614" s="60">
        <v>2</v>
      </c>
    </row>
    <row r="615" spans="1:4" x14ac:dyDescent="0.3">
      <c r="A615" s="57">
        <v>377</v>
      </c>
      <c r="B615" s="58">
        <v>35</v>
      </c>
      <c r="C615" s="59" t="s">
        <v>63</v>
      </c>
      <c r="D615" s="60">
        <v>1</v>
      </c>
    </row>
    <row r="616" spans="1:4" x14ac:dyDescent="0.3">
      <c r="A616" s="57">
        <v>377</v>
      </c>
      <c r="B616" s="58">
        <v>217</v>
      </c>
      <c r="C616" s="59" t="s">
        <v>63</v>
      </c>
      <c r="D616" s="60">
        <v>2</v>
      </c>
    </row>
    <row r="617" spans="1:4" x14ac:dyDescent="0.3">
      <c r="A617" s="57">
        <v>378</v>
      </c>
      <c r="B617" s="58">
        <v>36</v>
      </c>
      <c r="C617" s="59" t="s">
        <v>63</v>
      </c>
      <c r="D617" s="60">
        <v>1</v>
      </c>
    </row>
    <row r="618" spans="1:4" x14ac:dyDescent="0.3">
      <c r="A618" s="57">
        <v>378</v>
      </c>
      <c r="B618" s="58">
        <v>218</v>
      </c>
      <c r="C618" s="59" t="s">
        <v>63</v>
      </c>
      <c r="D618" s="60">
        <v>2</v>
      </c>
    </row>
    <row r="619" spans="1:4" x14ac:dyDescent="0.3">
      <c r="A619" s="57">
        <v>380</v>
      </c>
      <c r="B619" s="58">
        <v>37</v>
      </c>
      <c r="C619" s="59" t="s">
        <v>63</v>
      </c>
      <c r="D619" s="60">
        <v>1</v>
      </c>
    </row>
    <row r="620" spans="1:4" x14ac:dyDescent="0.3">
      <c r="A620" s="57">
        <v>380</v>
      </c>
      <c r="B620" s="58">
        <v>220</v>
      </c>
      <c r="C620" s="59" t="s">
        <v>63</v>
      </c>
      <c r="D620" s="60">
        <v>2</v>
      </c>
    </row>
    <row r="621" spans="1:4" x14ac:dyDescent="0.3">
      <c r="A621" s="57">
        <v>381</v>
      </c>
      <c r="B621" s="58">
        <v>1170</v>
      </c>
      <c r="C621" s="59" t="s">
        <v>63</v>
      </c>
      <c r="D621" s="60">
        <v>2</v>
      </c>
    </row>
    <row r="622" spans="1:4" x14ac:dyDescent="0.3">
      <c r="A622" s="57">
        <v>381</v>
      </c>
      <c r="B622" s="58">
        <v>1171</v>
      </c>
      <c r="C622" s="59" t="s">
        <v>63</v>
      </c>
      <c r="D622" s="60">
        <v>1</v>
      </c>
    </row>
    <row r="623" spans="1:4" x14ac:dyDescent="0.3">
      <c r="A623" s="57">
        <v>382</v>
      </c>
      <c r="B623" s="58">
        <v>1172</v>
      </c>
      <c r="C623" s="59" t="s">
        <v>63</v>
      </c>
      <c r="D623" s="60">
        <v>2</v>
      </c>
    </row>
    <row r="624" spans="1:4" x14ac:dyDescent="0.3">
      <c r="A624" s="57">
        <v>382</v>
      </c>
      <c r="B624" s="58">
        <v>1173</v>
      </c>
      <c r="C624" s="59" t="s">
        <v>63</v>
      </c>
      <c r="D624" s="60">
        <v>1</v>
      </c>
    </row>
    <row r="625" spans="1:4" x14ac:dyDescent="0.3">
      <c r="A625" s="57">
        <v>384</v>
      </c>
      <c r="B625" s="58">
        <v>1185</v>
      </c>
      <c r="C625" s="59" t="s">
        <v>75</v>
      </c>
      <c r="D625" s="60">
        <v>1</v>
      </c>
    </row>
    <row r="626" spans="1:4" x14ac:dyDescent="0.3">
      <c r="A626" s="57">
        <v>384</v>
      </c>
      <c r="B626" s="58">
        <v>1186</v>
      </c>
      <c r="C626" s="59" t="s">
        <v>75</v>
      </c>
      <c r="D626" s="60">
        <v>2</v>
      </c>
    </row>
    <row r="627" spans="1:4" x14ac:dyDescent="0.3">
      <c r="A627" s="57">
        <v>385</v>
      </c>
      <c r="B627" s="58">
        <v>1260</v>
      </c>
      <c r="C627" s="59" t="s">
        <v>63</v>
      </c>
      <c r="D627" s="60" t="s">
        <v>275</v>
      </c>
    </row>
    <row r="628" spans="1:4" x14ac:dyDescent="0.3">
      <c r="A628" s="57">
        <v>385</v>
      </c>
      <c r="B628" s="58">
        <v>1261</v>
      </c>
      <c r="C628" s="59" t="s">
        <v>63</v>
      </c>
      <c r="D628" s="60" t="s">
        <v>275</v>
      </c>
    </row>
    <row r="629" spans="1:4" x14ac:dyDescent="0.3">
      <c r="A629" s="57">
        <v>386</v>
      </c>
      <c r="B629" s="58">
        <v>1184</v>
      </c>
      <c r="C629" s="59" t="s">
        <v>44</v>
      </c>
      <c r="D629" s="60" t="s">
        <v>37</v>
      </c>
    </row>
    <row r="630" spans="1:4" x14ac:dyDescent="0.3">
      <c r="A630" s="57">
        <v>387</v>
      </c>
      <c r="B630" s="58">
        <v>1183</v>
      </c>
      <c r="C630" s="59" t="s">
        <v>68</v>
      </c>
      <c r="D630" s="60" t="s">
        <v>37</v>
      </c>
    </row>
    <row r="631" spans="1:4" x14ac:dyDescent="0.3">
      <c r="A631" s="57">
        <v>388</v>
      </c>
      <c r="B631" s="58">
        <v>1262</v>
      </c>
      <c r="C631" s="59" t="s">
        <v>63</v>
      </c>
      <c r="D631" s="60" t="s">
        <v>275</v>
      </c>
    </row>
    <row r="632" spans="1:4" x14ac:dyDescent="0.3">
      <c r="A632" s="57">
        <v>388</v>
      </c>
      <c r="B632" s="58">
        <v>1263</v>
      </c>
      <c r="C632" s="59" t="s">
        <v>63</v>
      </c>
      <c r="D632" s="60" t="s">
        <v>275</v>
      </c>
    </row>
    <row r="633" spans="1:4" x14ac:dyDescent="0.3">
      <c r="A633" s="57">
        <v>389</v>
      </c>
      <c r="B633" s="58">
        <v>1182</v>
      </c>
      <c r="C633" s="59" t="s">
        <v>54</v>
      </c>
      <c r="D633" s="60" t="s">
        <v>37</v>
      </c>
    </row>
    <row r="634" spans="1:4" x14ac:dyDescent="0.3">
      <c r="A634" s="57">
        <v>390</v>
      </c>
      <c r="B634" s="58">
        <v>1291</v>
      </c>
      <c r="C634" s="59" t="s">
        <v>63</v>
      </c>
      <c r="D634" s="60">
        <v>2</v>
      </c>
    </row>
    <row r="635" spans="1:4" x14ac:dyDescent="0.3">
      <c r="A635" s="57">
        <v>390</v>
      </c>
      <c r="B635" s="58">
        <v>1292</v>
      </c>
      <c r="C635" s="59" t="s">
        <v>63</v>
      </c>
      <c r="D635" s="60">
        <v>1</v>
      </c>
    </row>
    <row r="636" spans="1:4" x14ac:dyDescent="0.3">
      <c r="A636" s="57">
        <v>391</v>
      </c>
      <c r="B636" s="58">
        <v>29</v>
      </c>
      <c r="C636" s="59" t="s">
        <v>138</v>
      </c>
      <c r="D636" s="60" t="s">
        <v>37</v>
      </c>
    </row>
    <row r="637" spans="1:4" x14ac:dyDescent="0.3">
      <c r="A637" s="57">
        <v>392</v>
      </c>
      <c r="B637" s="58">
        <v>90</v>
      </c>
      <c r="C637" s="59" t="s">
        <v>139</v>
      </c>
      <c r="D637" s="60">
        <v>1</v>
      </c>
    </row>
    <row r="638" spans="1:4" x14ac:dyDescent="0.3">
      <c r="A638" s="57">
        <v>393</v>
      </c>
      <c r="B638" s="58">
        <v>1</v>
      </c>
      <c r="C638" s="59" t="s">
        <v>140</v>
      </c>
      <c r="D638" s="60">
        <v>1</v>
      </c>
    </row>
    <row r="639" spans="1:4" x14ac:dyDescent="0.3">
      <c r="A639" s="57">
        <v>394</v>
      </c>
      <c r="B639" s="58">
        <v>1176</v>
      </c>
      <c r="C639" s="59" t="s">
        <v>96</v>
      </c>
      <c r="D639" s="60">
        <v>1</v>
      </c>
    </row>
    <row r="640" spans="1:4" x14ac:dyDescent="0.3">
      <c r="A640" s="57">
        <v>394</v>
      </c>
      <c r="B640" s="58">
        <v>1177</v>
      </c>
      <c r="C640" s="59" t="s">
        <v>96</v>
      </c>
      <c r="D640" s="60">
        <v>2</v>
      </c>
    </row>
    <row r="641" spans="1:4" x14ac:dyDescent="0.3">
      <c r="A641" s="57">
        <v>395</v>
      </c>
      <c r="B641" s="58">
        <v>1044</v>
      </c>
      <c r="C641" s="59" t="s">
        <v>141</v>
      </c>
      <c r="D641" s="60">
        <v>2</v>
      </c>
    </row>
    <row r="642" spans="1:4" x14ac:dyDescent="0.3">
      <c r="A642" s="57">
        <v>395</v>
      </c>
      <c r="B642" s="58">
        <v>1045</v>
      </c>
      <c r="C642" s="59" t="s">
        <v>141</v>
      </c>
      <c r="D642" s="60">
        <v>1</v>
      </c>
    </row>
    <row r="643" spans="1:4" x14ac:dyDescent="0.3">
      <c r="A643" s="57">
        <v>395</v>
      </c>
      <c r="B643" s="58">
        <v>1046</v>
      </c>
      <c r="C643" s="59" t="s">
        <v>141</v>
      </c>
      <c r="D643" s="60">
        <v>1</v>
      </c>
    </row>
    <row r="644" spans="1:4" x14ac:dyDescent="0.3">
      <c r="A644" s="57">
        <v>396</v>
      </c>
      <c r="B644" s="58">
        <v>1323</v>
      </c>
      <c r="C644" s="59" t="s">
        <v>73</v>
      </c>
      <c r="D644" s="60">
        <v>1</v>
      </c>
    </row>
    <row r="645" spans="1:4" x14ac:dyDescent="0.3">
      <c r="A645" s="57">
        <v>397</v>
      </c>
      <c r="B645" s="58">
        <v>1346</v>
      </c>
      <c r="C645" s="59" t="s">
        <v>142</v>
      </c>
      <c r="D645" s="60">
        <v>1</v>
      </c>
    </row>
    <row r="646" spans="1:4" x14ac:dyDescent="0.3">
      <c r="A646" s="57">
        <v>398</v>
      </c>
      <c r="B646" s="58">
        <v>72</v>
      </c>
      <c r="C646" s="59" t="s">
        <v>143</v>
      </c>
      <c r="D646" s="60">
        <v>2</v>
      </c>
    </row>
    <row r="647" spans="1:4" x14ac:dyDescent="0.3">
      <c r="A647" s="57">
        <v>399</v>
      </c>
      <c r="B647" s="58">
        <v>27</v>
      </c>
      <c r="C647" s="59" t="s">
        <v>144</v>
      </c>
      <c r="D647" s="60" t="s">
        <v>283</v>
      </c>
    </row>
    <row r="648" spans="1:4" x14ac:dyDescent="0.3">
      <c r="A648" s="57">
        <v>400</v>
      </c>
      <c r="B648" s="58">
        <v>58</v>
      </c>
      <c r="C648" s="59" t="s">
        <v>95</v>
      </c>
      <c r="D648" s="60">
        <v>1</v>
      </c>
    </row>
    <row r="649" spans="1:4" x14ac:dyDescent="0.3">
      <c r="A649" s="57">
        <v>400</v>
      </c>
      <c r="B649" s="58">
        <v>190</v>
      </c>
      <c r="C649" s="59" t="s">
        <v>95</v>
      </c>
      <c r="D649" s="60" t="s">
        <v>280</v>
      </c>
    </row>
    <row r="650" spans="1:4" x14ac:dyDescent="0.3">
      <c r="A650" s="57">
        <v>401</v>
      </c>
      <c r="B650" s="58">
        <v>1157</v>
      </c>
      <c r="C650" s="59" t="s">
        <v>145</v>
      </c>
      <c r="D650" s="60" t="s">
        <v>37</v>
      </c>
    </row>
    <row r="651" spans="1:4" x14ac:dyDescent="0.3">
      <c r="A651" s="57">
        <v>403</v>
      </c>
      <c r="B651" s="58">
        <v>1178</v>
      </c>
      <c r="C651" s="59" t="s">
        <v>50</v>
      </c>
      <c r="D651" s="60">
        <v>1</v>
      </c>
    </row>
    <row r="652" spans="1:4" x14ac:dyDescent="0.3">
      <c r="A652" s="57">
        <v>403</v>
      </c>
      <c r="B652" s="58">
        <v>1179</v>
      </c>
      <c r="C652" s="59" t="s">
        <v>50</v>
      </c>
      <c r="D652" s="60">
        <v>2</v>
      </c>
    </row>
    <row r="653" spans="1:4" x14ac:dyDescent="0.3">
      <c r="A653" s="57">
        <v>404</v>
      </c>
      <c r="B653" s="58">
        <v>1161</v>
      </c>
      <c r="C653" s="59" t="s">
        <v>146</v>
      </c>
      <c r="D653" s="60">
        <v>2</v>
      </c>
    </row>
    <row r="654" spans="1:4" x14ac:dyDescent="0.3">
      <c r="A654" s="57">
        <v>404</v>
      </c>
      <c r="B654" s="58">
        <v>1162</v>
      </c>
      <c r="C654" s="59" t="s">
        <v>146</v>
      </c>
      <c r="D654" s="60">
        <v>1</v>
      </c>
    </row>
    <row r="655" spans="1:4" x14ac:dyDescent="0.3">
      <c r="A655" s="57">
        <v>405</v>
      </c>
      <c r="B655" s="58">
        <v>1163</v>
      </c>
      <c r="C655" s="59" t="s">
        <v>147</v>
      </c>
      <c r="D655" s="60" t="s">
        <v>37</v>
      </c>
    </row>
    <row r="656" spans="1:4" x14ac:dyDescent="0.3">
      <c r="A656" s="57">
        <v>406</v>
      </c>
      <c r="B656" s="58">
        <v>77</v>
      </c>
      <c r="C656" s="59" t="s">
        <v>148</v>
      </c>
      <c r="D656" s="60" t="s">
        <v>37</v>
      </c>
    </row>
    <row r="657" spans="1:4" x14ac:dyDescent="0.3">
      <c r="A657" s="57">
        <v>407</v>
      </c>
      <c r="B657" s="58">
        <v>81</v>
      </c>
      <c r="C657" s="59" t="s">
        <v>149</v>
      </c>
      <c r="D657" s="60" t="s">
        <v>37</v>
      </c>
    </row>
    <row r="658" spans="1:4" x14ac:dyDescent="0.3">
      <c r="A658" s="57">
        <v>408</v>
      </c>
      <c r="B658" s="58">
        <v>87</v>
      </c>
      <c r="C658" s="59" t="s">
        <v>150</v>
      </c>
      <c r="D658" s="60" t="s">
        <v>37</v>
      </c>
    </row>
    <row r="659" spans="1:4" x14ac:dyDescent="0.3">
      <c r="A659" s="57">
        <v>409</v>
      </c>
      <c r="B659" s="58">
        <v>89</v>
      </c>
      <c r="C659" s="59" t="s">
        <v>151</v>
      </c>
      <c r="D659" s="60" t="s">
        <v>37</v>
      </c>
    </row>
    <row r="660" spans="1:4" x14ac:dyDescent="0.3">
      <c r="A660" s="57">
        <v>410</v>
      </c>
      <c r="B660" s="58">
        <v>98</v>
      </c>
      <c r="C660" s="59" t="s">
        <v>152</v>
      </c>
      <c r="D660" s="60" t="s">
        <v>37</v>
      </c>
    </row>
    <row r="661" spans="1:4" x14ac:dyDescent="0.3">
      <c r="A661" s="57">
        <v>411</v>
      </c>
      <c r="B661" s="58">
        <v>106</v>
      </c>
      <c r="C661" s="59" t="s">
        <v>153</v>
      </c>
      <c r="D661" s="60" t="s">
        <v>37</v>
      </c>
    </row>
    <row r="662" spans="1:4" x14ac:dyDescent="0.3">
      <c r="A662" s="57">
        <v>412</v>
      </c>
      <c r="B662" s="58">
        <v>107</v>
      </c>
      <c r="C662" s="59" t="s">
        <v>154</v>
      </c>
      <c r="D662" s="60" t="s">
        <v>37</v>
      </c>
    </row>
    <row r="663" spans="1:4" x14ac:dyDescent="0.3">
      <c r="A663" s="57">
        <v>413</v>
      </c>
      <c r="B663" s="58">
        <v>108</v>
      </c>
      <c r="C663" s="59" t="s">
        <v>155</v>
      </c>
      <c r="D663" s="60" t="s">
        <v>37</v>
      </c>
    </row>
    <row r="664" spans="1:4" x14ac:dyDescent="0.3">
      <c r="A664" s="57">
        <v>414</v>
      </c>
      <c r="B664" s="58">
        <v>110</v>
      </c>
      <c r="C664" s="59" t="s">
        <v>156</v>
      </c>
      <c r="D664" s="60" t="s">
        <v>37</v>
      </c>
    </row>
    <row r="665" spans="1:4" x14ac:dyDescent="0.3">
      <c r="A665" s="57">
        <v>415</v>
      </c>
      <c r="B665" s="58">
        <v>165</v>
      </c>
      <c r="C665" s="59" t="s">
        <v>157</v>
      </c>
      <c r="D665" s="60" t="s">
        <v>37</v>
      </c>
    </row>
    <row r="666" spans="1:4" x14ac:dyDescent="0.3">
      <c r="A666" s="57">
        <v>416</v>
      </c>
      <c r="B666" s="58">
        <v>179</v>
      </c>
      <c r="C666" s="59" t="s">
        <v>158</v>
      </c>
      <c r="D666" s="60" t="s">
        <v>37</v>
      </c>
    </row>
    <row r="667" spans="1:4" x14ac:dyDescent="0.3">
      <c r="A667" s="57">
        <v>417</v>
      </c>
      <c r="B667" s="58">
        <v>209</v>
      </c>
      <c r="C667" s="59" t="s">
        <v>159</v>
      </c>
      <c r="D667" s="60" t="s">
        <v>37</v>
      </c>
    </row>
    <row r="668" spans="1:4" x14ac:dyDescent="0.3">
      <c r="A668" s="57">
        <v>418</v>
      </c>
      <c r="B668" s="58">
        <v>188</v>
      </c>
      <c r="C668" s="59" t="s">
        <v>160</v>
      </c>
      <c r="D668" s="60" t="s">
        <v>37</v>
      </c>
    </row>
    <row r="669" spans="1:4" x14ac:dyDescent="0.3">
      <c r="A669" s="57">
        <v>419</v>
      </c>
      <c r="B669" s="58">
        <v>176</v>
      </c>
      <c r="C669" s="59" t="s">
        <v>161</v>
      </c>
      <c r="D669" s="60" t="s">
        <v>37</v>
      </c>
    </row>
    <row r="670" spans="1:4" x14ac:dyDescent="0.3">
      <c r="A670" s="57">
        <v>420</v>
      </c>
      <c r="B670" s="58">
        <v>253</v>
      </c>
      <c r="C670" s="59" t="s">
        <v>162</v>
      </c>
      <c r="D670" s="60" t="s">
        <v>37</v>
      </c>
    </row>
    <row r="671" spans="1:4" x14ac:dyDescent="0.3">
      <c r="A671" s="57">
        <v>421</v>
      </c>
      <c r="B671" s="58">
        <v>222</v>
      </c>
      <c r="C671" s="59" t="s">
        <v>163</v>
      </c>
      <c r="D671" s="60" t="s">
        <v>37</v>
      </c>
    </row>
    <row r="672" spans="1:4" x14ac:dyDescent="0.3">
      <c r="A672" s="57">
        <v>422</v>
      </c>
      <c r="B672" s="58">
        <v>254</v>
      </c>
      <c r="C672" s="59" t="s">
        <v>164</v>
      </c>
      <c r="D672" s="60" t="s">
        <v>37</v>
      </c>
    </row>
    <row r="673" spans="1:4" x14ac:dyDescent="0.3">
      <c r="A673" s="57">
        <v>423</v>
      </c>
      <c r="B673" s="58">
        <v>255</v>
      </c>
      <c r="C673" s="59" t="s">
        <v>165</v>
      </c>
      <c r="D673" s="60" t="s">
        <v>37</v>
      </c>
    </row>
    <row r="674" spans="1:4" x14ac:dyDescent="0.3">
      <c r="A674" s="57">
        <v>424</v>
      </c>
      <c r="B674" s="58">
        <v>256</v>
      </c>
      <c r="C674" s="59" t="s">
        <v>166</v>
      </c>
      <c r="D674" s="60" t="s">
        <v>37</v>
      </c>
    </row>
    <row r="675" spans="1:4" x14ac:dyDescent="0.3">
      <c r="A675" s="57">
        <v>425</v>
      </c>
      <c r="B675" s="58">
        <v>1100</v>
      </c>
      <c r="C675" s="59" t="s">
        <v>167</v>
      </c>
      <c r="D675" s="60">
        <v>2</v>
      </c>
    </row>
    <row r="676" spans="1:4" x14ac:dyDescent="0.3">
      <c r="A676" s="57">
        <v>426</v>
      </c>
      <c r="B676" s="58">
        <v>1189</v>
      </c>
      <c r="C676" s="59" t="s">
        <v>75</v>
      </c>
      <c r="D676" s="60">
        <v>1</v>
      </c>
    </row>
    <row r="677" spans="1:4" x14ac:dyDescent="0.3">
      <c r="A677" s="57">
        <v>426</v>
      </c>
      <c r="B677" s="58">
        <v>1190</v>
      </c>
      <c r="C677" s="59" t="s">
        <v>75</v>
      </c>
      <c r="D677" s="60">
        <v>2</v>
      </c>
    </row>
    <row r="678" spans="1:4" x14ac:dyDescent="0.3">
      <c r="A678" s="57">
        <v>427</v>
      </c>
      <c r="B678" s="58">
        <v>1118</v>
      </c>
      <c r="C678" s="59" t="s">
        <v>168</v>
      </c>
      <c r="D678" s="60">
        <v>1</v>
      </c>
    </row>
    <row r="679" spans="1:4" x14ac:dyDescent="0.3">
      <c r="A679" s="57">
        <v>427</v>
      </c>
      <c r="B679" s="58">
        <v>1119</v>
      </c>
      <c r="C679" s="59" t="s">
        <v>168</v>
      </c>
      <c r="D679" s="60" t="s">
        <v>278</v>
      </c>
    </row>
    <row r="680" spans="1:4" x14ac:dyDescent="0.3">
      <c r="A680" s="57">
        <v>428</v>
      </c>
      <c r="B680" s="58">
        <v>258</v>
      </c>
      <c r="C680" s="59" t="s">
        <v>169</v>
      </c>
      <c r="D680" s="60" t="s">
        <v>170</v>
      </c>
    </row>
    <row r="681" spans="1:4" x14ac:dyDescent="0.3">
      <c r="A681" s="57">
        <v>428</v>
      </c>
      <c r="B681" s="58">
        <v>259</v>
      </c>
      <c r="C681" s="59" t="s">
        <v>169</v>
      </c>
      <c r="D681" s="60" t="s">
        <v>170</v>
      </c>
    </row>
    <row r="682" spans="1:4" x14ac:dyDescent="0.3">
      <c r="A682" s="57">
        <v>429</v>
      </c>
      <c r="B682" s="58">
        <v>260</v>
      </c>
      <c r="C682" s="59" t="s">
        <v>171</v>
      </c>
      <c r="D682" s="60" t="s">
        <v>170</v>
      </c>
    </row>
    <row r="683" spans="1:4" x14ac:dyDescent="0.3">
      <c r="A683" s="57">
        <v>429</v>
      </c>
      <c r="B683" s="58">
        <v>261</v>
      </c>
      <c r="C683" s="59" t="s">
        <v>171</v>
      </c>
      <c r="D683" s="60" t="s">
        <v>170</v>
      </c>
    </row>
    <row r="684" spans="1:4" x14ac:dyDescent="0.3">
      <c r="A684" s="57">
        <v>430</v>
      </c>
      <c r="B684" s="58">
        <v>264</v>
      </c>
      <c r="C684" s="59" t="s">
        <v>172</v>
      </c>
      <c r="D684" s="60" t="s">
        <v>170</v>
      </c>
    </row>
    <row r="685" spans="1:4" x14ac:dyDescent="0.3">
      <c r="A685" s="57">
        <v>430</v>
      </c>
      <c r="B685" s="58">
        <v>265</v>
      </c>
      <c r="C685" s="59" t="s">
        <v>172</v>
      </c>
      <c r="D685" s="60" t="s">
        <v>170</v>
      </c>
    </row>
    <row r="686" spans="1:4" x14ac:dyDescent="0.3">
      <c r="A686" s="57">
        <v>431</v>
      </c>
      <c r="B686" s="58">
        <v>262</v>
      </c>
      <c r="C686" s="59" t="s">
        <v>173</v>
      </c>
      <c r="D686" s="60" t="s">
        <v>170</v>
      </c>
    </row>
    <row r="687" spans="1:4" x14ac:dyDescent="0.3">
      <c r="A687" s="57">
        <v>431</v>
      </c>
      <c r="B687" s="58">
        <v>263</v>
      </c>
      <c r="C687" s="59" t="s">
        <v>173</v>
      </c>
      <c r="D687" s="60" t="s">
        <v>170</v>
      </c>
    </row>
    <row r="688" spans="1:4" x14ac:dyDescent="0.3">
      <c r="A688" s="57">
        <v>432</v>
      </c>
      <c r="B688" s="58">
        <v>1397</v>
      </c>
      <c r="C688" s="59" t="s">
        <v>75</v>
      </c>
      <c r="D688" s="60">
        <v>1</v>
      </c>
    </row>
    <row r="689" spans="1:4" x14ac:dyDescent="0.3">
      <c r="A689" s="57">
        <v>432</v>
      </c>
      <c r="B689" s="58">
        <v>1398</v>
      </c>
      <c r="C689" s="59" t="s">
        <v>75</v>
      </c>
      <c r="D689" s="60">
        <v>2</v>
      </c>
    </row>
    <row r="690" spans="1:4" x14ac:dyDescent="0.3">
      <c r="A690" s="57">
        <v>434</v>
      </c>
      <c r="B690" s="58">
        <v>269</v>
      </c>
      <c r="C690" s="59" t="s">
        <v>174</v>
      </c>
      <c r="D690" s="60" t="s">
        <v>275</v>
      </c>
    </row>
    <row r="691" spans="1:4" x14ac:dyDescent="0.3">
      <c r="A691" s="57">
        <v>435</v>
      </c>
      <c r="B691" s="58">
        <v>270</v>
      </c>
      <c r="C691" s="59" t="s">
        <v>175</v>
      </c>
      <c r="D691" s="60">
        <v>1</v>
      </c>
    </row>
    <row r="692" spans="1:4" x14ac:dyDescent="0.3">
      <c r="A692" s="57">
        <v>435</v>
      </c>
      <c r="B692" s="58">
        <v>271</v>
      </c>
      <c r="C692" s="59" t="s">
        <v>175</v>
      </c>
      <c r="D692" s="60">
        <v>1</v>
      </c>
    </row>
    <row r="693" spans="1:4" x14ac:dyDescent="0.3">
      <c r="A693" s="57">
        <v>435</v>
      </c>
      <c r="B693" s="58">
        <v>272</v>
      </c>
      <c r="C693" s="59" t="s">
        <v>175</v>
      </c>
      <c r="D693" s="60">
        <v>2</v>
      </c>
    </row>
    <row r="694" spans="1:4" x14ac:dyDescent="0.3">
      <c r="A694" s="57">
        <v>436</v>
      </c>
      <c r="B694" s="58">
        <v>273</v>
      </c>
      <c r="C694" s="59" t="s">
        <v>176</v>
      </c>
      <c r="D694" s="60">
        <v>1</v>
      </c>
    </row>
    <row r="695" spans="1:4" x14ac:dyDescent="0.3">
      <c r="A695" s="57">
        <v>436</v>
      </c>
      <c r="B695" s="58">
        <v>274</v>
      </c>
      <c r="C695" s="59" t="s">
        <v>176</v>
      </c>
      <c r="D695" s="60">
        <v>1</v>
      </c>
    </row>
    <row r="696" spans="1:4" x14ac:dyDescent="0.3">
      <c r="A696" s="57">
        <v>436</v>
      </c>
      <c r="B696" s="58">
        <v>275</v>
      </c>
      <c r="C696" s="59" t="s">
        <v>176</v>
      </c>
      <c r="D696" s="60">
        <v>2</v>
      </c>
    </row>
    <row r="697" spans="1:4" x14ac:dyDescent="0.3">
      <c r="A697" s="57">
        <v>437</v>
      </c>
      <c r="B697" s="58">
        <v>1403</v>
      </c>
      <c r="C697" s="59" t="s">
        <v>177</v>
      </c>
      <c r="D697" s="60">
        <v>2</v>
      </c>
    </row>
    <row r="698" spans="1:4" x14ac:dyDescent="0.3">
      <c r="A698" s="57">
        <v>437</v>
      </c>
      <c r="B698" s="58">
        <v>1404</v>
      </c>
      <c r="C698" s="59" t="s">
        <v>177</v>
      </c>
      <c r="D698" s="60">
        <v>1</v>
      </c>
    </row>
    <row r="699" spans="1:4" x14ac:dyDescent="0.3">
      <c r="A699" s="57">
        <v>437</v>
      </c>
      <c r="B699" s="58">
        <v>1405</v>
      </c>
      <c r="C699" s="59" t="s">
        <v>177</v>
      </c>
      <c r="D699" s="60">
        <v>1</v>
      </c>
    </row>
    <row r="700" spans="1:4" x14ac:dyDescent="0.3">
      <c r="A700" s="57">
        <v>439</v>
      </c>
      <c r="B700" s="58">
        <v>346</v>
      </c>
      <c r="C700" s="59" t="s">
        <v>178</v>
      </c>
      <c r="D700" s="60">
        <v>2</v>
      </c>
    </row>
    <row r="701" spans="1:4" x14ac:dyDescent="0.3">
      <c r="A701" s="57">
        <v>439</v>
      </c>
      <c r="B701" s="58">
        <v>349</v>
      </c>
      <c r="C701" s="59" t="s">
        <v>178</v>
      </c>
      <c r="D701" s="60">
        <v>1</v>
      </c>
    </row>
    <row r="702" spans="1:4" x14ac:dyDescent="0.3">
      <c r="A702" s="57">
        <v>440</v>
      </c>
      <c r="B702" s="58">
        <v>210</v>
      </c>
      <c r="C702" s="59" t="s">
        <v>179</v>
      </c>
      <c r="D702" s="60">
        <v>2</v>
      </c>
    </row>
    <row r="703" spans="1:4" x14ac:dyDescent="0.3">
      <c r="A703" s="57">
        <v>440</v>
      </c>
      <c r="B703" s="58">
        <v>347</v>
      </c>
      <c r="C703" s="59" t="s">
        <v>179</v>
      </c>
      <c r="D703" s="60" t="s">
        <v>275</v>
      </c>
    </row>
    <row r="704" spans="1:4" x14ac:dyDescent="0.3">
      <c r="A704" s="57">
        <v>440</v>
      </c>
      <c r="B704" s="58">
        <v>348</v>
      </c>
      <c r="C704" s="59" t="s">
        <v>179</v>
      </c>
      <c r="D704" s="60" t="s">
        <v>275</v>
      </c>
    </row>
    <row r="705" spans="1:4" x14ac:dyDescent="0.3">
      <c r="A705" s="57">
        <v>441</v>
      </c>
      <c r="B705" s="58">
        <v>206</v>
      </c>
      <c r="C705" s="59" t="s">
        <v>79</v>
      </c>
      <c r="D705" s="60">
        <v>2</v>
      </c>
    </row>
    <row r="706" spans="1:4" x14ac:dyDescent="0.3">
      <c r="A706" s="57">
        <v>441</v>
      </c>
      <c r="B706" s="58">
        <v>350</v>
      </c>
      <c r="C706" s="59" t="s">
        <v>79</v>
      </c>
      <c r="D706" s="60">
        <v>1</v>
      </c>
    </row>
    <row r="707" spans="1:4" x14ac:dyDescent="0.3">
      <c r="A707" s="57">
        <v>441</v>
      </c>
      <c r="B707" s="58">
        <v>351</v>
      </c>
      <c r="C707" s="59" t="s">
        <v>79</v>
      </c>
      <c r="D707" s="60">
        <v>1</v>
      </c>
    </row>
    <row r="708" spans="1:4" x14ac:dyDescent="0.3">
      <c r="A708" s="57">
        <v>441</v>
      </c>
      <c r="B708" s="58">
        <v>352</v>
      </c>
      <c r="C708" s="59" t="s">
        <v>79</v>
      </c>
      <c r="D708" s="60">
        <v>1</v>
      </c>
    </row>
    <row r="709" spans="1:4" x14ac:dyDescent="0.3">
      <c r="A709" s="57">
        <v>442</v>
      </c>
      <c r="B709" s="58">
        <v>356</v>
      </c>
      <c r="C709" s="59" t="s">
        <v>75</v>
      </c>
      <c r="D709" s="60" t="s">
        <v>275</v>
      </c>
    </row>
    <row r="710" spans="1:4" x14ac:dyDescent="0.3">
      <c r="A710" s="57">
        <v>442</v>
      </c>
      <c r="B710" s="58">
        <v>357</v>
      </c>
      <c r="C710" s="59" t="s">
        <v>75</v>
      </c>
      <c r="D710" s="60" t="s">
        <v>275</v>
      </c>
    </row>
    <row r="711" spans="1:4" x14ac:dyDescent="0.3">
      <c r="A711" s="57">
        <v>443</v>
      </c>
      <c r="B711" s="58">
        <v>358</v>
      </c>
      <c r="C711" s="59" t="s">
        <v>117</v>
      </c>
      <c r="D711" s="60">
        <v>1</v>
      </c>
    </row>
    <row r="712" spans="1:4" x14ac:dyDescent="0.3">
      <c r="A712" s="57">
        <v>443</v>
      </c>
      <c r="B712" s="58">
        <v>359</v>
      </c>
      <c r="C712" s="59" t="s">
        <v>117</v>
      </c>
      <c r="D712" s="60" t="s">
        <v>280</v>
      </c>
    </row>
    <row r="713" spans="1:4" x14ac:dyDescent="0.3">
      <c r="A713" s="57">
        <v>444</v>
      </c>
      <c r="B713" s="58">
        <v>208</v>
      </c>
      <c r="C713" s="59" t="s">
        <v>120</v>
      </c>
      <c r="D713" s="60">
        <v>2</v>
      </c>
    </row>
    <row r="714" spans="1:4" x14ac:dyDescent="0.3">
      <c r="A714" s="57">
        <v>444</v>
      </c>
      <c r="B714" s="58">
        <v>358</v>
      </c>
      <c r="C714" s="59" t="s">
        <v>120</v>
      </c>
      <c r="D714" s="60" t="s">
        <v>283</v>
      </c>
    </row>
    <row r="715" spans="1:4" x14ac:dyDescent="0.3">
      <c r="A715" s="57">
        <v>444</v>
      </c>
      <c r="B715" s="58">
        <v>360</v>
      </c>
      <c r="C715" s="59" t="s">
        <v>120</v>
      </c>
      <c r="D715" s="60" t="s">
        <v>283</v>
      </c>
    </row>
    <row r="716" spans="1:4" x14ac:dyDescent="0.3">
      <c r="A716" s="57">
        <v>445</v>
      </c>
      <c r="B716" s="58">
        <v>1406</v>
      </c>
      <c r="C716" s="59" t="s">
        <v>180</v>
      </c>
      <c r="D716" s="60">
        <v>1</v>
      </c>
    </row>
    <row r="717" spans="1:4" x14ac:dyDescent="0.3">
      <c r="A717" s="57">
        <v>445</v>
      </c>
      <c r="B717" s="58">
        <v>1407</v>
      </c>
      <c r="C717" s="59" t="s">
        <v>180</v>
      </c>
      <c r="D717" s="60">
        <v>2</v>
      </c>
    </row>
    <row r="718" spans="1:4" x14ac:dyDescent="0.3">
      <c r="A718" s="57">
        <v>446</v>
      </c>
      <c r="B718" s="58">
        <v>1408</v>
      </c>
      <c r="C718" s="59" t="s">
        <v>180</v>
      </c>
      <c r="D718" s="60">
        <v>1</v>
      </c>
    </row>
    <row r="719" spans="1:4" x14ac:dyDescent="0.3">
      <c r="A719" s="57">
        <v>446</v>
      </c>
      <c r="B719" s="58">
        <v>1409</v>
      </c>
      <c r="C719" s="59" t="s">
        <v>180</v>
      </c>
      <c r="D719" s="60">
        <v>2</v>
      </c>
    </row>
    <row r="720" spans="1:4" x14ac:dyDescent="0.3">
      <c r="A720" s="57">
        <v>447</v>
      </c>
      <c r="B720" s="58">
        <v>206</v>
      </c>
      <c r="C720" s="59" t="s">
        <v>91</v>
      </c>
      <c r="D720" s="60">
        <v>2</v>
      </c>
    </row>
    <row r="721" spans="1:4" x14ac:dyDescent="0.3">
      <c r="A721" s="57">
        <v>448</v>
      </c>
      <c r="B721" s="58">
        <v>1125</v>
      </c>
      <c r="C721" s="59" t="s">
        <v>91</v>
      </c>
      <c r="D721" s="60">
        <v>2</v>
      </c>
    </row>
    <row r="722" spans="1:4" x14ac:dyDescent="0.3">
      <c r="A722" s="57">
        <v>449</v>
      </c>
      <c r="B722" s="58">
        <v>1127</v>
      </c>
      <c r="C722" s="59" t="s">
        <v>91</v>
      </c>
      <c r="D722" s="60">
        <v>2</v>
      </c>
    </row>
    <row r="723" spans="1:4" x14ac:dyDescent="0.3">
      <c r="A723" s="57">
        <v>450</v>
      </c>
      <c r="B723" s="58">
        <v>1129</v>
      </c>
      <c r="C723" s="59" t="s">
        <v>91</v>
      </c>
      <c r="D723" s="60">
        <v>2</v>
      </c>
    </row>
    <row r="724" spans="1:4" x14ac:dyDescent="0.3">
      <c r="A724" s="57">
        <v>451</v>
      </c>
      <c r="B724" s="58">
        <v>1140</v>
      </c>
      <c r="C724" s="59" t="s">
        <v>91</v>
      </c>
      <c r="D724" s="60">
        <v>2</v>
      </c>
    </row>
    <row r="725" spans="1:4" x14ac:dyDescent="0.3">
      <c r="A725" s="57">
        <v>452</v>
      </c>
      <c r="B725" s="58">
        <v>1142</v>
      </c>
      <c r="C725" s="59" t="s">
        <v>91</v>
      </c>
      <c r="D725" s="60">
        <v>2</v>
      </c>
    </row>
    <row r="726" spans="1:4" x14ac:dyDescent="0.3">
      <c r="A726" s="57">
        <v>453</v>
      </c>
      <c r="B726" s="58">
        <v>1144</v>
      </c>
      <c r="C726" s="59" t="s">
        <v>91</v>
      </c>
      <c r="D726" s="60">
        <v>2</v>
      </c>
    </row>
    <row r="727" spans="1:4" x14ac:dyDescent="0.3">
      <c r="A727" s="57">
        <v>454</v>
      </c>
      <c r="B727" s="58">
        <v>1146</v>
      </c>
      <c r="C727" s="59" t="s">
        <v>91</v>
      </c>
      <c r="D727" s="60">
        <v>2</v>
      </c>
    </row>
    <row r="728" spans="1:4" x14ac:dyDescent="0.3">
      <c r="A728" s="57">
        <v>455</v>
      </c>
      <c r="B728" s="58">
        <v>1148</v>
      </c>
      <c r="C728" s="59" t="s">
        <v>91</v>
      </c>
      <c r="D728" s="60">
        <v>2</v>
      </c>
    </row>
    <row r="729" spans="1:4" x14ac:dyDescent="0.3">
      <c r="A729" s="57">
        <v>456</v>
      </c>
      <c r="B729" s="58">
        <v>1150</v>
      </c>
      <c r="C729" s="59" t="s">
        <v>91</v>
      </c>
      <c r="D729" s="60">
        <v>2</v>
      </c>
    </row>
    <row r="730" spans="1:4" x14ac:dyDescent="0.3">
      <c r="A730" s="57">
        <v>459</v>
      </c>
      <c r="B730" s="58">
        <v>1398</v>
      </c>
      <c r="C730" s="59" t="s">
        <v>91</v>
      </c>
      <c r="D730" s="60">
        <v>2</v>
      </c>
    </row>
    <row r="731" spans="1:4" x14ac:dyDescent="0.3">
      <c r="A731" s="57">
        <v>460</v>
      </c>
      <c r="B731" s="58">
        <v>361</v>
      </c>
      <c r="C731" s="59" t="s">
        <v>181</v>
      </c>
      <c r="D731" s="60" t="s">
        <v>37</v>
      </c>
    </row>
    <row r="732" spans="1:4" x14ac:dyDescent="0.3">
      <c r="A732" s="57">
        <v>461</v>
      </c>
      <c r="B732" s="58">
        <v>361</v>
      </c>
      <c r="C732" s="59" t="s">
        <v>181</v>
      </c>
      <c r="D732" s="60" t="s">
        <v>37</v>
      </c>
    </row>
    <row r="733" spans="1:4" x14ac:dyDescent="0.3">
      <c r="A733" s="57">
        <v>462</v>
      </c>
      <c r="B733" s="58">
        <v>362</v>
      </c>
      <c r="C733" s="59" t="s">
        <v>182</v>
      </c>
      <c r="D733" s="60" t="s">
        <v>37</v>
      </c>
    </row>
    <row r="734" spans="1:4" x14ac:dyDescent="0.3">
      <c r="A734" s="57">
        <v>463</v>
      </c>
      <c r="B734" s="58">
        <v>363</v>
      </c>
      <c r="C734" s="59" t="s">
        <v>183</v>
      </c>
      <c r="D734" s="60" t="s">
        <v>37</v>
      </c>
    </row>
    <row r="735" spans="1:4" x14ac:dyDescent="0.3">
      <c r="A735" s="57">
        <v>464</v>
      </c>
      <c r="B735" s="58">
        <v>364</v>
      </c>
      <c r="C735" s="59" t="s">
        <v>184</v>
      </c>
      <c r="D735" s="60">
        <v>1</v>
      </c>
    </row>
    <row r="736" spans="1:4" x14ac:dyDescent="0.3">
      <c r="A736" s="57">
        <v>464</v>
      </c>
      <c r="B736" s="58">
        <v>365</v>
      </c>
      <c r="C736" s="59" t="s">
        <v>184</v>
      </c>
      <c r="D736" s="60">
        <v>1</v>
      </c>
    </row>
    <row r="737" spans="1:4" x14ac:dyDescent="0.3">
      <c r="A737" s="57">
        <v>465</v>
      </c>
      <c r="B737" s="58">
        <v>1410</v>
      </c>
      <c r="C737" s="59" t="s">
        <v>185</v>
      </c>
      <c r="D737" s="60">
        <v>1</v>
      </c>
    </row>
    <row r="738" spans="1:4" x14ac:dyDescent="0.3">
      <c r="A738" s="57">
        <v>465</v>
      </c>
      <c r="B738" s="58">
        <v>1411</v>
      </c>
      <c r="C738" s="59" t="s">
        <v>185</v>
      </c>
      <c r="D738" s="60">
        <v>1</v>
      </c>
    </row>
    <row r="739" spans="1:4" x14ac:dyDescent="0.3">
      <c r="A739" s="57">
        <v>466</v>
      </c>
      <c r="B739" s="58">
        <v>366</v>
      </c>
      <c r="C739" s="59" t="s">
        <v>186</v>
      </c>
      <c r="D739" s="60" t="s">
        <v>275</v>
      </c>
    </row>
    <row r="740" spans="1:4" x14ac:dyDescent="0.3">
      <c r="A740" s="57">
        <v>467</v>
      </c>
      <c r="B740" s="58">
        <v>367</v>
      </c>
      <c r="C740" s="59" t="s">
        <v>186</v>
      </c>
      <c r="D740" s="60" t="s">
        <v>275</v>
      </c>
    </row>
    <row r="741" spans="1:4" x14ac:dyDescent="0.3">
      <c r="A741" s="57">
        <v>468</v>
      </c>
      <c r="B741" s="58">
        <v>368</v>
      </c>
      <c r="C741" s="59" t="s">
        <v>186</v>
      </c>
      <c r="D741" s="60" t="s">
        <v>275</v>
      </c>
    </row>
    <row r="742" spans="1:4" x14ac:dyDescent="0.3">
      <c r="A742" s="57">
        <v>469</v>
      </c>
      <c r="B742" s="58">
        <v>369</v>
      </c>
      <c r="C742" s="59" t="s">
        <v>186</v>
      </c>
      <c r="D742" s="60" t="s">
        <v>275</v>
      </c>
    </row>
    <row r="743" spans="1:4" x14ac:dyDescent="0.3">
      <c r="A743" s="57">
        <v>470</v>
      </c>
      <c r="B743" s="58">
        <v>370</v>
      </c>
      <c r="C743" s="59" t="s">
        <v>186</v>
      </c>
      <c r="D743" s="60" t="s">
        <v>275</v>
      </c>
    </row>
    <row r="744" spans="1:4" x14ac:dyDescent="0.3">
      <c r="A744" s="57">
        <v>473</v>
      </c>
      <c r="B744" s="58">
        <v>1412</v>
      </c>
      <c r="C744" s="59" t="s">
        <v>187</v>
      </c>
      <c r="D744" s="60">
        <v>1</v>
      </c>
    </row>
    <row r="745" spans="1:4" x14ac:dyDescent="0.3">
      <c r="A745" s="57">
        <v>473</v>
      </c>
      <c r="B745" s="58">
        <v>1413</v>
      </c>
      <c r="C745" s="59" t="s">
        <v>187</v>
      </c>
      <c r="D745" s="60">
        <v>2</v>
      </c>
    </row>
    <row r="746" spans="1:4" x14ac:dyDescent="0.3">
      <c r="A746" s="57">
        <v>474</v>
      </c>
      <c r="B746" s="58">
        <v>1414</v>
      </c>
      <c r="C746" s="59" t="s">
        <v>188</v>
      </c>
      <c r="D746" s="60" t="s">
        <v>37</v>
      </c>
    </row>
    <row r="747" spans="1:4" x14ac:dyDescent="0.3">
      <c r="A747" s="57">
        <v>475</v>
      </c>
      <c r="B747" s="58">
        <v>1415</v>
      </c>
      <c r="C747" s="59" t="s">
        <v>189</v>
      </c>
      <c r="D747" s="60">
        <v>1</v>
      </c>
    </row>
    <row r="748" spans="1:4" x14ac:dyDescent="0.3">
      <c r="A748" s="57">
        <v>475</v>
      </c>
      <c r="B748" s="58">
        <v>1416</v>
      </c>
      <c r="C748" s="59" t="s">
        <v>189</v>
      </c>
      <c r="D748" s="60">
        <v>2</v>
      </c>
    </row>
    <row r="749" spans="1:4" x14ac:dyDescent="0.3">
      <c r="A749" s="57">
        <v>476</v>
      </c>
      <c r="B749" s="58">
        <v>1417</v>
      </c>
      <c r="C749" s="59" t="s">
        <v>190</v>
      </c>
      <c r="D749" s="60" t="s">
        <v>37</v>
      </c>
    </row>
    <row r="750" spans="1:4" x14ac:dyDescent="0.3">
      <c r="A750" s="57">
        <v>477</v>
      </c>
      <c r="B750" s="58">
        <v>1418</v>
      </c>
      <c r="C750" s="59" t="s">
        <v>190</v>
      </c>
      <c r="D750" s="60" t="s">
        <v>37</v>
      </c>
    </row>
    <row r="751" spans="1:4" x14ac:dyDescent="0.3">
      <c r="A751" s="57">
        <v>478</v>
      </c>
      <c r="B751" s="58">
        <v>1419</v>
      </c>
      <c r="C751" s="59" t="s">
        <v>120</v>
      </c>
      <c r="D751" s="60">
        <v>1</v>
      </c>
    </row>
    <row r="752" spans="1:4" x14ac:dyDescent="0.3">
      <c r="A752" s="57">
        <v>478</v>
      </c>
      <c r="B752" s="58">
        <v>1420</v>
      </c>
      <c r="C752" s="59" t="s">
        <v>120</v>
      </c>
      <c r="D752" s="60">
        <v>1</v>
      </c>
    </row>
    <row r="753" spans="1:4" x14ac:dyDescent="0.3">
      <c r="A753" s="57">
        <v>478</v>
      </c>
      <c r="B753" s="58">
        <v>1421</v>
      </c>
      <c r="C753" s="59" t="s">
        <v>120</v>
      </c>
      <c r="D753" s="60">
        <v>2</v>
      </c>
    </row>
    <row r="754" spans="1:4" x14ac:dyDescent="0.3">
      <c r="A754" s="57">
        <v>479</v>
      </c>
      <c r="B754" s="58">
        <v>1424</v>
      </c>
      <c r="C754" s="59" t="s">
        <v>178</v>
      </c>
      <c r="D754" s="60">
        <v>2</v>
      </c>
    </row>
    <row r="755" spans="1:4" x14ac:dyDescent="0.3">
      <c r="A755" s="57">
        <v>479</v>
      </c>
      <c r="B755" s="58">
        <v>1425</v>
      </c>
      <c r="C755" s="59" t="s">
        <v>178</v>
      </c>
      <c r="D755" s="60">
        <v>1</v>
      </c>
    </row>
    <row r="756" spans="1:4" x14ac:dyDescent="0.3">
      <c r="A756" s="57">
        <v>480</v>
      </c>
      <c r="B756" s="58">
        <v>1426</v>
      </c>
      <c r="C756" s="59" t="s">
        <v>178</v>
      </c>
      <c r="D756" s="60">
        <v>2</v>
      </c>
    </row>
    <row r="757" spans="1:4" x14ac:dyDescent="0.3">
      <c r="A757" s="57">
        <v>480</v>
      </c>
      <c r="B757" s="58">
        <v>1427</v>
      </c>
      <c r="C757" s="59" t="s">
        <v>178</v>
      </c>
      <c r="D757" s="60">
        <v>1</v>
      </c>
    </row>
    <row r="758" spans="1:4" x14ac:dyDescent="0.3">
      <c r="A758" s="57">
        <v>481</v>
      </c>
      <c r="B758" s="58">
        <v>1428</v>
      </c>
      <c r="C758" s="59" t="s">
        <v>178</v>
      </c>
      <c r="D758" s="60">
        <v>2</v>
      </c>
    </row>
    <row r="759" spans="1:4" x14ac:dyDescent="0.3">
      <c r="A759" s="57">
        <v>481</v>
      </c>
      <c r="B759" s="58">
        <v>1429</v>
      </c>
      <c r="C759" s="59" t="s">
        <v>178</v>
      </c>
      <c r="D759" s="60">
        <v>1</v>
      </c>
    </row>
    <row r="760" spans="1:4" x14ac:dyDescent="0.3">
      <c r="A760" s="57">
        <v>482</v>
      </c>
      <c r="B760" s="58">
        <v>378</v>
      </c>
      <c r="C760" s="59" t="s">
        <v>191</v>
      </c>
      <c r="D760" s="60" t="s">
        <v>192</v>
      </c>
    </row>
    <row r="761" spans="1:4" x14ac:dyDescent="0.3">
      <c r="A761" s="57">
        <v>483</v>
      </c>
      <c r="B761" s="58">
        <v>379</v>
      </c>
      <c r="C761" s="59" t="s">
        <v>193</v>
      </c>
      <c r="D761" s="60" t="s">
        <v>192</v>
      </c>
    </row>
    <row r="762" spans="1:4" x14ac:dyDescent="0.3">
      <c r="A762" s="57">
        <v>484</v>
      </c>
      <c r="B762" s="58">
        <v>380</v>
      </c>
      <c r="C762" s="59" t="s">
        <v>194</v>
      </c>
      <c r="D762" s="60" t="s">
        <v>192</v>
      </c>
    </row>
    <row r="763" spans="1:4" x14ac:dyDescent="0.3">
      <c r="A763" s="57">
        <v>485</v>
      </c>
      <c r="B763" s="58">
        <v>381</v>
      </c>
      <c r="C763" s="59" t="s">
        <v>195</v>
      </c>
      <c r="D763" s="60" t="s">
        <v>192</v>
      </c>
    </row>
    <row r="764" spans="1:4" x14ac:dyDescent="0.3">
      <c r="A764" s="57">
        <v>486</v>
      </c>
      <c r="B764" s="58">
        <v>382</v>
      </c>
      <c r="C764" s="59" t="s">
        <v>196</v>
      </c>
      <c r="D764" s="60" t="s">
        <v>192</v>
      </c>
    </row>
    <row r="765" spans="1:4" x14ac:dyDescent="0.3">
      <c r="A765" s="57">
        <v>487</v>
      </c>
      <c r="B765" s="58">
        <v>383</v>
      </c>
      <c r="C765" s="59" t="s">
        <v>197</v>
      </c>
      <c r="D765" s="60" t="s">
        <v>192</v>
      </c>
    </row>
    <row r="766" spans="1:4" x14ac:dyDescent="0.3">
      <c r="A766" s="57">
        <v>488</v>
      </c>
      <c r="B766" s="58">
        <v>384</v>
      </c>
      <c r="C766" s="59" t="s">
        <v>198</v>
      </c>
      <c r="D766" s="60" t="s">
        <v>192</v>
      </c>
    </row>
    <row r="767" spans="1:4" x14ac:dyDescent="0.3">
      <c r="A767" s="57">
        <v>489</v>
      </c>
      <c r="B767" s="58">
        <v>385</v>
      </c>
      <c r="C767" s="59" t="s">
        <v>199</v>
      </c>
      <c r="D767" s="60" t="s">
        <v>192</v>
      </c>
    </row>
    <row r="768" spans="1:4" x14ac:dyDescent="0.3">
      <c r="A768" s="57">
        <v>490</v>
      </c>
      <c r="B768" s="58">
        <v>386</v>
      </c>
      <c r="C768" s="59" t="s">
        <v>200</v>
      </c>
      <c r="D768" s="60" t="s">
        <v>192</v>
      </c>
    </row>
    <row r="769" spans="1:4" x14ac:dyDescent="0.3">
      <c r="A769" s="57">
        <v>491</v>
      </c>
      <c r="B769" s="58">
        <v>387</v>
      </c>
      <c r="C769" s="59" t="s">
        <v>201</v>
      </c>
      <c r="D769" s="60" t="s">
        <v>192</v>
      </c>
    </row>
    <row r="770" spans="1:4" x14ac:dyDescent="0.3">
      <c r="A770" s="57">
        <v>492</v>
      </c>
      <c r="B770" s="58">
        <v>388</v>
      </c>
      <c r="C770" s="59" t="s">
        <v>202</v>
      </c>
      <c r="D770" s="60" t="s">
        <v>192</v>
      </c>
    </row>
    <row r="771" spans="1:4" x14ac:dyDescent="0.3">
      <c r="A771" s="57">
        <v>493</v>
      </c>
      <c r="B771" s="58">
        <v>389</v>
      </c>
      <c r="C771" s="59" t="s">
        <v>203</v>
      </c>
      <c r="D771" s="60" t="s">
        <v>192</v>
      </c>
    </row>
    <row r="772" spans="1:4" x14ac:dyDescent="0.3">
      <c r="A772" s="57">
        <v>494</v>
      </c>
      <c r="B772" s="58">
        <v>390</v>
      </c>
      <c r="C772" s="59" t="s">
        <v>204</v>
      </c>
      <c r="D772" s="60" t="s">
        <v>192</v>
      </c>
    </row>
    <row r="773" spans="1:4" x14ac:dyDescent="0.3">
      <c r="A773" s="57">
        <v>495</v>
      </c>
      <c r="B773" s="58">
        <v>391</v>
      </c>
      <c r="C773" s="59" t="s">
        <v>205</v>
      </c>
      <c r="D773" s="60" t="s">
        <v>192</v>
      </c>
    </row>
    <row r="774" spans="1:4" x14ac:dyDescent="0.3">
      <c r="A774" s="57">
        <v>496</v>
      </c>
      <c r="B774" s="58">
        <v>392</v>
      </c>
      <c r="C774" s="59" t="s">
        <v>206</v>
      </c>
      <c r="D774" s="60" t="s">
        <v>192</v>
      </c>
    </row>
    <row r="775" spans="1:4" x14ac:dyDescent="0.3">
      <c r="A775" s="57">
        <v>497</v>
      </c>
      <c r="B775" s="58">
        <v>393</v>
      </c>
      <c r="C775" s="59" t="s">
        <v>207</v>
      </c>
      <c r="D775" s="60" t="s">
        <v>192</v>
      </c>
    </row>
    <row r="776" spans="1:4" x14ac:dyDescent="0.3">
      <c r="A776" s="57">
        <v>498</v>
      </c>
      <c r="B776" s="58">
        <v>394</v>
      </c>
      <c r="C776" s="59" t="s">
        <v>208</v>
      </c>
      <c r="D776" s="60" t="s">
        <v>192</v>
      </c>
    </row>
    <row r="777" spans="1:4" x14ac:dyDescent="0.3">
      <c r="A777" s="57">
        <v>701</v>
      </c>
      <c r="B777" s="58">
        <v>343</v>
      </c>
      <c r="C777" s="59" t="s">
        <v>209</v>
      </c>
      <c r="D777" s="60" t="s">
        <v>37</v>
      </c>
    </row>
    <row r="778" spans="1:4" x14ac:dyDescent="0.3">
      <c r="A778" s="57">
        <v>702</v>
      </c>
      <c r="B778" s="58">
        <v>344</v>
      </c>
      <c r="C778" s="59" t="s">
        <v>209</v>
      </c>
      <c r="D778" s="60" t="s">
        <v>37</v>
      </c>
    </row>
    <row r="779" spans="1:4" x14ac:dyDescent="0.3">
      <c r="A779" s="57">
        <v>703</v>
      </c>
      <c r="B779" s="58">
        <v>317</v>
      </c>
      <c r="C779" s="59" t="s">
        <v>143</v>
      </c>
      <c r="D779" s="60" t="s">
        <v>37</v>
      </c>
    </row>
    <row r="780" spans="1:4" x14ac:dyDescent="0.3">
      <c r="A780" s="57">
        <v>704</v>
      </c>
      <c r="B780" s="58">
        <v>318</v>
      </c>
      <c r="C780" s="59" t="s">
        <v>143</v>
      </c>
      <c r="D780" s="60" t="s">
        <v>37</v>
      </c>
    </row>
    <row r="781" spans="1:4" x14ac:dyDescent="0.3">
      <c r="A781" s="57">
        <v>705</v>
      </c>
      <c r="B781" s="58">
        <v>319</v>
      </c>
      <c r="C781" s="59" t="s">
        <v>143</v>
      </c>
      <c r="D781" s="60" t="s">
        <v>37</v>
      </c>
    </row>
    <row r="782" spans="1:4" x14ac:dyDescent="0.3">
      <c r="A782" s="57">
        <v>706</v>
      </c>
      <c r="B782" s="58">
        <v>320</v>
      </c>
      <c r="C782" s="59" t="s">
        <v>143</v>
      </c>
      <c r="D782" s="60" t="s">
        <v>37</v>
      </c>
    </row>
    <row r="783" spans="1:4" x14ac:dyDescent="0.3">
      <c r="A783" s="57">
        <v>707</v>
      </c>
      <c r="B783" s="58">
        <v>321</v>
      </c>
      <c r="C783" s="59" t="s">
        <v>143</v>
      </c>
      <c r="D783" s="60" t="s">
        <v>37</v>
      </c>
    </row>
    <row r="784" spans="1:4" x14ac:dyDescent="0.3">
      <c r="A784" s="57">
        <v>708</v>
      </c>
      <c r="B784" s="58">
        <v>322</v>
      </c>
      <c r="C784" s="59" t="s">
        <v>143</v>
      </c>
      <c r="D784" s="60" t="s">
        <v>37</v>
      </c>
    </row>
    <row r="785" spans="1:4" x14ac:dyDescent="0.3">
      <c r="A785" s="57">
        <v>709</v>
      </c>
      <c r="B785" s="58">
        <v>323</v>
      </c>
      <c r="C785" s="59" t="s">
        <v>143</v>
      </c>
      <c r="D785" s="60" t="s">
        <v>37</v>
      </c>
    </row>
    <row r="786" spans="1:4" x14ac:dyDescent="0.3">
      <c r="A786" s="57">
        <v>710</v>
      </c>
      <c r="B786" s="58">
        <v>324</v>
      </c>
      <c r="C786" s="59" t="s">
        <v>143</v>
      </c>
      <c r="D786" s="60" t="s">
        <v>37</v>
      </c>
    </row>
    <row r="787" spans="1:4" x14ac:dyDescent="0.3">
      <c r="A787" s="57">
        <v>711</v>
      </c>
      <c r="B787" s="58">
        <v>325</v>
      </c>
      <c r="C787" s="59" t="s">
        <v>143</v>
      </c>
      <c r="D787" s="60" t="s">
        <v>37</v>
      </c>
    </row>
    <row r="788" spans="1:4" x14ac:dyDescent="0.3">
      <c r="A788" s="57">
        <v>712</v>
      </c>
      <c r="B788" s="58">
        <v>326</v>
      </c>
      <c r="C788" s="59" t="s">
        <v>210</v>
      </c>
      <c r="D788" s="60" t="s">
        <v>37</v>
      </c>
    </row>
    <row r="789" spans="1:4" x14ac:dyDescent="0.3">
      <c r="A789" s="57">
        <v>713</v>
      </c>
      <c r="B789" s="58">
        <v>328</v>
      </c>
      <c r="C789" s="59" t="s">
        <v>210</v>
      </c>
      <c r="D789" s="60" t="s">
        <v>37</v>
      </c>
    </row>
    <row r="790" spans="1:4" x14ac:dyDescent="0.3">
      <c r="A790" s="57">
        <v>714</v>
      </c>
      <c r="B790" s="58">
        <v>329</v>
      </c>
      <c r="C790" s="59" t="s">
        <v>210</v>
      </c>
      <c r="D790" s="60" t="s">
        <v>37</v>
      </c>
    </row>
    <row r="791" spans="1:4" x14ac:dyDescent="0.3">
      <c r="A791" s="57">
        <v>715</v>
      </c>
      <c r="B791" s="58">
        <v>330</v>
      </c>
      <c r="C791" s="59" t="s">
        <v>210</v>
      </c>
      <c r="D791" s="60" t="s">
        <v>37</v>
      </c>
    </row>
    <row r="792" spans="1:4" x14ac:dyDescent="0.3">
      <c r="A792" s="57">
        <v>716</v>
      </c>
      <c r="B792" s="58">
        <v>339</v>
      </c>
      <c r="C792" s="59" t="s">
        <v>211</v>
      </c>
      <c r="D792" s="60" t="s">
        <v>37</v>
      </c>
    </row>
    <row r="793" spans="1:4" x14ac:dyDescent="0.3">
      <c r="A793" s="57">
        <v>717</v>
      </c>
      <c r="B793" s="58">
        <v>340</v>
      </c>
      <c r="C793" s="59" t="s">
        <v>211</v>
      </c>
      <c r="D793" s="60" t="s">
        <v>37</v>
      </c>
    </row>
    <row r="794" spans="1:4" x14ac:dyDescent="0.3">
      <c r="A794" s="57">
        <v>718</v>
      </c>
      <c r="B794" s="58">
        <v>341</v>
      </c>
      <c r="C794" s="59" t="s">
        <v>212</v>
      </c>
      <c r="D794" s="60" t="s">
        <v>37</v>
      </c>
    </row>
    <row r="795" spans="1:4" x14ac:dyDescent="0.3">
      <c r="A795" s="57">
        <v>719</v>
      </c>
      <c r="B795" s="58">
        <v>342</v>
      </c>
      <c r="C795" s="59" t="s">
        <v>212</v>
      </c>
      <c r="D795" s="60" t="s">
        <v>37</v>
      </c>
    </row>
    <row r="796" spans="1:4" x14ac:dyDescent="0.3">
      <c r="A796" s="57">
        <v>720</v>
      </c>
      <c r="B796" s="58">
        <v>331</v>
      </c>
      <c r="C796" s="59" t="s">
        <v>76</v>
      </c>
      <c r="D796" s="60">
        <v>1</v>
      </c>
    </row>
    <row r="797" spans="1:4" x14ac:dyDescent="0.3">
      <c r="A797" s="57">
        <v>720</v>
      </c>
      <c r="B797" s="58">
        <v>332</v>
      </c>
      <c r="C797" s="59" t="s">
        <v>76</v>
      </c>
      <c r="D797" s="60">
        <v>1</v>
      </c>
    </row>
    <row r="798" spans="1:4" x14ac:dyDescent="0.3">
      <c r="A798" s="57">
        <v>720</v>
      </c>
      <c r="B798" s="58">
        <v>333</v>
      </c>
      <c r="C798" s="59" t="s">
        <v>76</v>
      </c>
      <c r="D798" s="60">
        <v>2</v>
      </c>
    </row>
    <row r="799" spans="1:4" x14ac:dyDescent="0.3">
      <c r="A799" s="57">
        <v>721</v>
      </c>
      <c r="B799" s="58">
        <v>327</v>
      </c>
      <c r="C799" s="59" t="s">
        <v>213</v>
      </c>
      <c r="D799" s="60">
        <v>2</v>
      </c>
    </row>
    <row r="800" spans="1:4" x14ac:dyDescent="0.3">
      <c r="A800" s="57">
        <v>721</v>
      </c>
      <c r="B800" s="58">
        <v>336</v>
      </c>
      <c r="C800" s="59" t="s">
        <v>213</v>
      </c>
      <c r="D800" s="60">
        <v>1</v>
      </c>
    </row>
    <row r="801" spans="1:4" x14ac:dyDescent="0.3">
      <c r="A801" s="57">
        <v>722</v>
      </c>
      <c r="B801" s="58">
        <v>13067</v>
      </c>
      <c r="C801" s="59" t="s">
        <v>213</v>
      </c>
      <c r="D801" s="60">
        <v>2</v>
      </c>
    </row>
    <row r="802" spans="1:4" x14ac:dyDescent="0.3">
      <c r="A802" s="57">
        <v>722</v>
      </c>
      <c r="B802" s="58">
        <v>13068</v>
      </c>
      <c r="C802" s="59" t="s">
        <v>213</v>
      </c>
      <c r="D802" s="60">
        <v>1</v>
      </c>
    </row>
    <row r="803" spans="1:4" x14ac:dyDescent="0.3">
      <c r="A803" s="57">
        <v>723</v>
      </c>
      <c r="B803" s="58">
        <v>13070</v>
      </c>
      <c r="C803" s="59" t="s">
        <v>213</v>
      </c>
      <c r="D803" s="60">
        <v>2</v>
      </c>
    </row>
    <row r="804" spans="1:4" x14ac:dyDescent="0.3">
      <c r="A804" s="57">
        <v>723</v>
      </c>
      <c r="B804" s="58">
        <v>13071</v>
      </c>
      <c r="C804" s="59" t="s">
        <v>213</v>
      </c>
      <c r="D804" s="60">
        <v>1</v>
      </c>
    </row>
    <row r="805" spans="1:4" x14ac:dyDescent="0.3">
      <c r="A805" s="57">
        <v>724</v>
      </c>
      <c r="B805" s="58">
        <v>13073</v>
      </c>
      <c r="C805" s="59" t="s">
        <v>213</v>
      </c>
      <c r="D805" s="60">
        <v>2</v>
      </c>
    </row>
    <row r="806" spans="1:4" x14ac:dyDescent="0.3">
      <c r="A806" s="57">
        <v>724</v>
      </c>
      <c r="B806" s="58">
        <v>13074</v>
      </c>
      <c r="C806" s="59" t="s">
        <v>213</v>
      </c>
      <c r="D806" s="60">
        <v>1</v>
      </c>
    </row>
    <row r="807" spans="1:4" x14ac:dyDescent="0.3">
      <c r="A807" s="57">
        <v>725</v>
      </c>
      <c r="B807" s="58">
        <v>13076</v>
      </c>
      <c r="C807" s="59" t="s">
        <v>213</v>
      </c>
      <c r="D807" s="60">
        <v>2</v>
      </c>
    </row>
    <row r="808" spans="1:4" x14ac:dyDescent="0.3">
      <c r="A808" s="57">
        <v>725</v>
      </c>
      <c r="B808" s="58">
        <v>13077</v>
      </c>
      <c r="C808" s="59" t="s">
        <v>213</v>
      </c>
      <c r="D808" s="60">
        <v>1</v>
      </c>
    </row>
    <row r="809" spans="1:4" x14ac:dyDescent="0.3">
      <c r="A809" s="57">
        <v>726</v>
      </c>
      <c r="B809" s="58">
        <v>13079</v>
      </c>
      <c r="C809" s="59" t="s">
        <v>213</v>
      </c>
      <c r="D809" s="60">
        <v>2</v>
      </c>
    </row>
    <row r="810" spans="1:4" x14ac:dyDescent="0.3">
      <c r="A810" s="57">
        <v>726</v>
      </c>
      <c r="B810" s="58">
        <v>13080</v>
      </c>
      <c r="C810" s="59" t="s">
        <v>213</v>
      </c>
      <c r="D810" s="60">
        <v>1</v>
      </c>
    </row>
    <row r="811" spans="1:4" x14ac:dyDescent="0.3">
      <c r="A811" s="57">
        <v>727</v>
      </c>
      <c r="B811" s="58">
        <v>13032</v>
      </c>
      <c r="C811" s="59" t="s">
        <v>213</v>
      </c>
      <c r="D811" s="60">
        <v>2</v>
      </c>
    </row>
    <row r="812" spans="1:4" x14ac:dyDescent="0.3">
      <c r="A812" s="57">
        <v>727</v>
      </c>
      <c r="B812" s="58">
        <v>13033</v>
      </c>
      <c r="C812" s="59" t="s">
        <v>213</v>
      </c>
      <c r="D812" s="60">
        <v>1</v>
      </c>
    </row>
    <row r="813" spans="1:4" x14ac:dyDescent="0.3">
      <c r="A813" s="57">
        <v>728</v>
      </c>
      <c r="B813" s="58">
        <v>13034</v>
      </c>
      <c r="C813" s="59" t="s">
        <v>214</v>
      </c>
      <c r="D813" s="60">
        <v>2</v>
      </c>
    </row>
    <row r="814" spans="1:4" x14ac:dyDescent="0.3">
      <c r="A814" s="57">
        <v>729</v>
      </c>
      <c r="B814" s="58">
        <v>13035</v>
      </c>
      <c r="C814" s="59" t="s">
        <v>213</v>
      </c>
      <c r="D814" s="60">
        <v>2</v>
      </c>
    </row>
    <row r="815" spans="1:4" x14ac:dyDescent="0.3">
      <c r="A815" s="57">
        <v>729</v>
      </c>
      <c r="B815" s="58">
        <v>13036</v>
      </c>
      <c r="C815" s="59" t="s">
        <v>213</v>
      </c>
      <c r="D815" s="60">
        <v>1</v>
      </c>
    </row>
    <row r="816" spans="1:4" x14ac:dyDescent="0.3">
      <c r="A816" s="57">
        <v>730</v>
      </c>
      <c r="B816" s="58">
        <v>13037</v>
      </c>
      <c r="C816" s="59" t="s">
        <v>214</v>
      </c>
      <c r="D816" s="60">
        <v>2</v>
      </c>
    </row>
    <row r="817" spans="1:4" x14ac:dyDescent="0.3">
      <c r="A817" s="57">
        <v>731</v>
      </c>
      <c r="B817" s="58">
        <v>13038</v>
      </c>
      <c r="C817" s="59" t="s">
        <v>213</v>
      </c>
      <c r="D817" s="60">
        <v>2</v>
      </c>
    </row>
    <row r="818" spans="1:4" x14ac:dyDescent="0.3">
      <c r="A818" s="57">
        <v>731</v>
      </c>
      <c r="B818" s="58">
        <v>13039</v>
      </c>
      <c r="C818" s="59" t="s">
        <v>213</v>
      </c>
      <c r="D818" s="60">
        <v>1</v>
      </c>
    </row>
    <row r="819" spans="1:4" x14ac:dyDescent="0.3">
      <c r="A819" s="57">
        <v>732</v>
      </c>
      <c r="B819" s="58">
        <v>13040</v>
      </c>
      <c r="C819" s="59" t="s">
        <v>214</v>
      </c>
      <c r="D819" s="60">
        <v>2</v>
      </c>
    </row>
    <row r="820" spans="1:4" x14ac:dyDescent="0.3">
      <c r="A820" s="57">
        <v>733</v>
      </c>
      <c r="B820" s="58">
        <v>13041</v>
      </c>
      <c r="C820" s="59" t="s">
        <v>213</v>
      </c>
      <c r="D820" s="60">
        <v>2</v>
      </c>
    </row>
    <row r="821" spans="1:4" x14ac:dyDescent="0.3">
      <c r="A821" s="57">
        <v>733</v>
      </c>
      <c r="B821" s="58">
        <v>13042</v>
      </c>
      <c r="C821" s="59" t="s">
        <v>213</v>
      </c>
      <c r="D821" s="60">
        <v>1</v>
      </c>
    </row>
    <row r="822" spans="1:4" x14ac:dyDescent="0.3">
      <c r="A822" s="57">
        <v>734</v>
      </c>
      <c r="B822" s="58">
        <v>13043</v>
      </c>
      <c r="C822" s="59" t="s">
        <v>214</v>
      </c>
      <c r="D822" s="60">
        <v>2</v>
      </c>
    </row>
    <row r="823" spans="1:4" x14ac:dyDescent="0.3">
      <c r="A823" s="57">
        <v>735</v>
      </c>
      <c r="B823" s="58">
        <v>13044</v>
      </c>
      <c r="C823" s="59" t="s">
        <v>213</v>
      </c>
      <c r="D823" s="60">
        <v>2</v>
      </c>
    </row>
    <row r="824" spans="1:4" x14ac:dyDescent="0.3">
      <c r="A824" s="57">
        <v>735</v>
      </c>
      <c r="B824" s="58">
        <v>13045</v>
      </c>
      <c r="C824" s="59" t="s">
        <v>213</v>
      </c>
      <c r="D824" s="60">
        <v>1</v>
      </c>
    </row>
    <row r="825" spans="1:4" x14ac:dyDescent="0.3">
      <c r="A825" s="57">
        <v>736</v>
      </c>
      <c r="B825" s="58">
        <v>13046</v>
      </c>
      <c r="C825" s="59" t="s">
        <v>214</v>
      </c>
      <c r="D825" s="60">
        <v>2</v>
      </c>
    </row>
    <row r="826" spans="1:4" x14ac:dyDescent="0.3">
      <c r="A826" s="57">
        <v>737</v>
      </c>
      <c r="B826" s="58">
        <v>13047</v>
      </c>
      <c r="C826" s="59" t="s">
        <v>213</v>
      </c>
      <c r="D826" s="60">
        <v>2</v>
      </c>
    </row>
    <row r="827" spans="1:4" x14ac:dyDescent="0.3">
      <c r="A827" s="57">
        <v>737</v>
      </c>
      <c r="B827" s="58">
        <v>13048</v>
      </c>
      <c r="C827" s="59" t="s">
        <v>213</v>
      </c>
      <c r="D827" s="60">
        <v>1</v>
      </c>
    </row>
    <row r="828" spans="1:4" x14ac:dyDescent="0.3">
      <c r="A828" s="57">
        <v>738</v>
      </c>
      <c r="B828" s="58">
        <v>13049</v>
      </c>
      <c r="C828" s="59" t="s">
        <v>214</v>
      </c>
      <c r="D828" s="60">
        <v>2</v>
      </c>
    </row>
    <row r="829" spans="1:4" x14ac:dyDescent="0.3">
      <c r="A829" s="57">
        <v>739</v>
      </c>
      <c r="B829" s="58">
        <v>13050</v>
      </c>
      <c r="C829" s="59" t="s">
        <v>213</v>
      </c>
      <c r="D829" s="60">
        <v>2</v>
      </c>
    </row>
    <row r="830" spans="1:4" x14ac:dyDescent="0.3">
      <c r="A830" s="57">
        <v>739</v>
      </c>
      <c r="B830" s="58">
        <v>13051</v>
      </c>
      <c r="C830" s="59" t="s">
        <v>213</v>
      </c>
      <c r="D830" s="60">
        <v>1</v>
      </c>
    </row>
    <row r="831" spans="1:4" x14ac:dyDescent="0.3">
      <c r="A831" s="57">
        <v>740</v>
      </c>
      <c r="B831" s="58">
        <v>13052</v>
      </c>
      <c r="C831" s="59" t="s">
        <v>214</v>
      </c>
      <c r="D831" s="60">
        <v>2</v>
      </c>
    </row>
    <row r="832" spans="1:4" x14ac:dyDescent="0.3">
      <c r="A832" s="57">
        <v>741</v>
      </c>
      <c r="B832" s="58">
        <v>13053</v>
      </c>
      <c r="C832" s="59" t="s">
        <v>213</v>
      </c>
      <c r="D832" s="60">
        <v>2</v>
      </c>
    </row>
    <row r="833" spans="1:4" x14ac:dyDescent="0.3">
      <c r="A833" s="57">
        <v>741</v>
      </c>
      <c r="B833" s="58">
        <v>13054</v>
      </c>
      <c r="C833" s="59" t="s">
        <v>213</v>
      </c>
      <c r="D833" s="60">
        <v>1</v>
      </c>
    </row>
    <row r="834" spans="1:4" x14ac:dyDescent="0.3">
      <c r="A834" s="57">
        <v>742</v>
      </c>
      <c r="B834" s="58">
        <v>13055</v>
      </c>
      <c r="C834" s="59" t="s">
        <v>214</v>
      </c>
      <c r="D834" s="60">
        <v>2</v>
      </c>
    </row>
    <row r="835" spans="1:4" x14ac:dyDescent="0.3">
      <c r="A835" s="57">
        <v>743</v>
      </c>
      <c r="B835" s="58">
        <v>13056</v>
      </c>
      <c r="C835" s="59" t="s">
        <v>213</v>
      </c>
      <c r="D835" s="60">
        <v>2</v>
      </c>
    </row>
    <row r="836" spans="1:4" x14ac:dyDescent="0.3">
      <c r="A836" s="57">
        <v>743</v>
      </c>
      <c r="B836" s="58">
        <v>13057</v>
      </c>
      <c r="C836" s="59" t="s">
        <v>213</v>
      </c>
      <c r="D836" s="60">
        <v>1</v>
      </c>
    </row>
    <row r="837" spans="1:4" x14ac:dyDescent="0.3">
      <c r="A837" s="57">
        <v>744</v>
      </c>
      <c r="B837" s="58">
        <v>13058</v>
      </c>
      <c r="C837" s="59" t="s">
        <v>214</v>
      </c>
      <c r="D837" s="60">
        <v>2</v>
      </c>
    </row>
    <row r="838" spans="1:4" x14ac:dyDescent="0.3">
      <c r="A838" s="57">
        <v>745</v>
      </c>
      <c r="B838" s="58">
        <v>13059</v>
      </c>
      <c r="C838" s="59" t="s">
        <v>213</v>
      </c>
      <c r="D838" s="60">
        <v>2</v>
      </c>
    </row>
    <row r="839" spans="1:4" x14ac:dyDescent="0.3">
      <c r="A839" s="57">
        <v>745</v>
      </c>
      <c r="B839" s="58">
        <v>13060</v>
      </c>
      <c r="C839" s="59" t="s">
        <v>213</v>
      </c>
      <c r="D839" s="60">
        <v>1</v>
      </c>
    </row>
    <row r="840" spans="1:4" x14ac:dyDescent="0.3">
      <c r="A840" s="57">
        <v>746</v>
      </c>
      <c r="B840" s="58">
        <v>13061</v>
      </c>
      <c r="C840" s="59" t="s">
        <v>214</v>
      </c>
      <c r="D840" s="60">
        <v>2</v>
      </c>
    </row>
    <row r="841" spans="1:4" x14ac:dyDescent="0.3">
      <c r="A841" s="57">
        <v>747</v>
      </c>
      <c r="B841" s="58">
        <v>13062</v>
      </c>
      <c r="C841" s="59" t="s">
        <v>213</v>
      </c>
      <c r="D841" s="60">
        <v>2</v>
      </c>
    </row>
    <row r="842" spans="1:4" x14ac:dyDescent="0.3">
      <c r="A842" s="57">
        <v>747</v>
      </c>
      <c r="B842" s="58">
        <v>13063</v>
      </c>
      <c r="C842" s="59" t="s">
        <v>213</v>
      </c>
      <c r="D842" s="60">
        <v>1</v>
      </c>
    </row>
    <row r="843" spans="1:4" x14ac:dyDescent="0.3">
      <c r="A843" s="57">
        <v>748</v>
      </c>
      <c r="B843" s="58">
        <v>13064</v>
      </c>
      <c r="C843" s="59" t="s">
        <v>213</v>
      </c>
      <c r="D843" s="60">
        <v>2</v>
      </c>
    </row>
    <row r="844" spans="1:4" x14ac:dyDescent="0.3">
      <c r="A844" s="57">
        <v>748</v>
      </c>
      <c r="B844" s="58">
        <v>13065</v>
      </c>
      <c r="C844" s="59" t="s">
        <v>213</v>
      </c>
      <c r="D844" s="60">
        <v>1</v>
      </c>
    </row>
    <row r="845" spans="1:4" x14ac:dyDescent="0.3">
      <c r="A845" s="57">
        <v>749</v>
      </c>
      <c r="B845" s="58">
        <v>13066</v>
      </c>
      <c r="C845" s="59" t="s">
        <v>214</v>
      </c>
      <c r="D845" s="60">
        <v>2</v>
      </c>
    </row>
    <row r="846" spans="1:4" x14ac:dyDescent="0.3">
      <c r="A846" s="57">
        <v>752</v>
      </c>
      <c r="B846" s="58">
        <v>13011</v>
      </c>
      <c r="C846" s="59" t="s">
        <v>213</v>
      </c>
      <c r="D846" s="60">
        <v>2</v>
      </c>
    </row>
    <row r="847" spans="1:4" x14ac:dyDescent="0.3">
      <c r="A847" s="57">
        <v>752</v>
      </c>
      <c r="B847" s="58">
        <v>13012</v>
      </c>
      <c r="C847" s="59" t="s">
        <v>213</v>
      </c>
      <c r="D847" s="60">
        <v>1</v>
      </c>
    </row>
    <row r="848" spans="1:4" x14ac:dyDescent="0.3">
      <c r="A848" s="57">
        <v>753</v>
      </c>
      <c r="B848" s="58">
        <v>13013</v>
      </c>
      <c r="C848" s="59" t="s">
        <v>215</v>
      </c>
      <c r="D848" s="60">
        <v>2</v>
      </c>
    </row>
    <row r="849" spans="1:4" x14ac:dyDescent="0.3">
      <c r="A849" s="57">
        <v>754</v>
      </c>
      <c r="B849" s="58">
        <v>13014</v>
      </c>
      <c r="C849" s="59" t="s">
        <v>213</v>
      </c>
      <c r="D849" s="60">
        <v>2</v>
      </c>
    </row>
    <row r="850" spans="1:4" x14ac:dyDescent="0.3">
      <c r="A850" s="57">
        <v>754</v>
      </c>
      <c r="B850" s="58">
        <v>13015</v>
      </c>
      <c r="C850" s="59" t="s">
        <v>213</v>
      </c>
      <c r="D850" s="60">
        <v>1</v>
      </c>
    </row>
    <row r="851" spans="1:4" x14ac:dyDescent="0.3">
      <c r="A851" s="57">
        <v>755</v>
      </c>
      <c r="B851" s="58">
        <v>13016</v>
      </c>
      <c r="C851" s="59" t="s">
        <v>215</v>
      </c>
      <c r="D851" s="60">
        <v>2</v>
      </c>
    </row>
    <row r="852" spans="1:4" x14ac:dyDescent="0.3">
      <c r="A852" s="57">
        <v>756</v>
      </c>
      <c r="B852" s="58">
        <v>13017</v>
      </c>
      <c r="C852" s="59" t="s">
        <v>213</v>
      </c>
      <c r="D852" s="60">
        <v>2</v>
      </c>
    </row>
    <row r="853" spans="1:4" x14ac:dyDescent="0.3">
      <c r="A853" s="57">
        <v>756</v>
      </c>
      <c r="B853" s="58">
        <v>13018</v>
      </c>
      <c r="C853" s="59" t="s">
        <v>213</v>
      </c>
      <c r="D853" s="60">
        <v>1</v>
      </c>
    </row>
    <row r="854" spans="1:4" x14ac:dyDescent="0.3">
      <c r="A854" s="57">
        <v>757</v>
      </c>
      <c r="B854" s="58">
        <v>13019</v>
      </c>
      <c r="C854" s="59" t="s">
        <v>215</v>
      </c>
      <c r="D854" s="60">
        <v>2</v>
      </c>
    </row>
    <row r="855" spans="1:4" x14ac:dyDescent="0.3">
      <c r="A855" s="57">
        <v>758</v>
      </c>
      <c r="B855" s="58">
        <v>13020</v>
      </c>
      <c r="C855" s="59" t="s">
        <v>213</v>
      </c>
      <c r="D855" s="60">
        <v>2</v>
      </c>
    </row>
    <row r="856" spans="1:4" x14ac:dyDescent="0.3">
      <c r="A856" s="57">
        <v>758</v>
      </c>
      <c r="B856" s="58">
        <v>13021</v>
      </c>
      <c r="C856" s="59" t="s">
        <v>213</v>
      </c>
      <c r="D856" s="60">
        <v>1</v>
      </c>
    </row>
    <row r="857" spans="1:4" x14ac:dyDescent="0.3">
      <c r="A857" s="57">
        <v>759</v>
      </c>
      <c r="B857" s="58">
        <v>13022</v>
      </c>
      <c r="C857" s="59" t="s">
        <v>215</v>
      </c>
      <c r="D857" s="60">
        <v>2</v>
      </c>
    </row>
    <row r="858" spans="1:4" x14ac:dyDescent="0.3">
      <c r="A858" s="57">
        <v>760</v>
      </c>
      <c r="B858" s="58">
        <v>13023</v>
      </c>
      <c r="C858" s="59" t="s">
        <v>213</v>
      </c>
      <c r="D858" s="60">
        <v>2</v>
      </c>
    </row>
    <row r="859" spans="1:4" x14ac:dyDescent="0.3">
      <c r="A859" s="57">
        <v>760</v>
      </c>
      <c r="B859" s="58">
        <v>13024</v>
      </c>
      <c r="C859" s="59" t="s">
        <v>213</v>
      </c>
      <c r="D859" s="60">
        <v>1</v>
      </c>
    </row>
    <row r="860" spans="1:4" x14ac:dyDescent="0.3">
      <c r="A860" s="57">
        <v>761</v>
      </c>
      <c r="B860" s="58">
        <v>13025</v>
      </c>
      <c r="C860" s="59" t="s">
        <v>215</v>
      </c>
      <c r="D860" s="60">
        <v>2</v>
      </c>
    </row>
    <row r="861" spans="1:4" x14ac:dyDescent="0.3">
      <c r="A861" s="57">
        <v>762</v>
      </c>
      <c r="B861" s="58">
        <v>13026</v>
      </c>
      <c r="C861" s="59" t="s">
        <v>213</v>
      </c>
      <c r="D861" s="60">
        <v>2</v>
      </c>
    </row>
    <row r="862" spans="1:4" x14ac:dyDescent="0.3">
      <c r="A862" s="57">
        <v>762</v>
      </c>
      <c r="B862" s="58">
        <v>13027</v>
      </c>
      <c r="C862" s="59" t="s">
        <v>213</v>
      </c>
      <c r="D862" s="60">
        <v>1</v>
      </c>
    </row>
    <row r="863" spans="1:4" x14ac:dyDescent="0.3">
      <c r="A863" s="57">
        <v>763</v>
      </c>
      <c r="B863" s="58">
        <v>13028</v>
      </c>
      <c r="C863" s="59" t="s">
        <v>215</v>
      </c>
      <c r="D863" s="60">
        <v>2</v>
      </c>
    </row>
    <row r="864" spans="1:4" x14ac:dyDescent="0.3">
      <c r="A864" s="57">
        <v>764</v>
      </c>
      <c r="B864" s="58">
        <v>13002</v>
      </c>
      <c r="C864" s="59" t="s">
        <v>213</v>
      </c>
      <c r="D864" s="60">
        <v>2</v>
      </c>
    </row>
    <row r="865" spans="1:4" x14ac:dyDescent="0.3">
      <c r="A865" s="57">
        <v>764</v>
      </c>
      <c r="B865" s="58">
        <v>13003</v>
      </c>
      <c r="C865" s="59" t="s">
        <v>213</v>
      </c>
      <c r="D865" s="60">
        <v>1</v>
      </c>
    </row>
    <row r="866" spans="1:4" x14ac:dyDescent="0.3">
      <c r="A866" s="57">
        <v>765</v>
      </c>
      <c r="B866" s="58">
        <v>13004</v>
      </c>
      <c r="C866" s="59" t="s">
        <v>215</v>
      </c>
      <c r="D866" s="60">
        <v>2</v>
      </c>
    </row>
    <row r="867" spans="1:4" x14ac:dyDescent="0.3">
      <c r="A867" s="57">
        <v>766</v>
      </c>
      <c r="B867" s="58">
        <v>13005</v>
      </c>
      <c r="C867" s="59" t="s">
        <v>213</v>
      </c>
      <c r="D867" s="60">
        <v>2</v>
      </c>
    </row>
    <row r="868" spans="1:4" x14ac:dyDescent="0.3">
      <c r="A868" s="57">
        <v>766</v>
      </c>
      <c r="B868" s="58">
        <v>13006</v>
      </c>
      <c r="C868" s="59" t="s">
        <v>213</v>
      </c>
      <c r="D868" s="60">
        <v>1</v>
      </c>
    </row>
    <row r="869" spans="1:4" x14ac:dyDescent="0.3">
      <c r="A869" s="57">
        <v>767</v>
      </c>
      <c r="B869" s="58">
        <v>13007</v>
      </c>
      <c r="C869" s="59" t="s">
        <v>215</v>
      </c>
      <c r="D869" s="60">
        <v>2</v>
      </c>
    </row>
    <row r="870" spans="1:4" x14ac:dyDescent="0.3">
      <c r="A870" s="57">
        <v>768</v>
      </c>
      <c r="B870" s="58">
        <v>13008</v>
      </c>
      <c r="C870" s="59" t="s">
        <v>213</v>
      </c>
      <c r="D870" s="60">
        <v>2</v>
      </c>
    </row>
    <row r="871" spans="1:4" x14ac:dyDescent="0.3">
      <c r="A871" s="57">
        <v>768</v>
      </c>
      <c r="B871" s="58">
        <v>13009</v>
      </c>
      <c r="C871" s="59" t="s">
        <v>213</v>
      </c>
      <c r="D871" s="60">
        <v>1</v>
      </c>
    </row>
    <row r="872" spans="1:4" x14ac:dyDescent="0.3">
      <c r="A872" s="57">
        <v>769</v>
      </c>
      <c r="B872" s="58">
        <v>13010</v>
      </c>
      <c r="C872" s="59" t="s">
        <v>215</v>
      </c>
      <c r="D872" s="60">
        <v>2</v>
      </c>
    </row>
    <row r="873" spans="1:4" x14ac:dyDescent="0.3">
      <c r="A873" s="57">
        <v>770</v>
      </c>
      <c r="B873" s="58">
        <v>13001</v>
      </c>
      <c r="C873" s="59" t="s">
        <v>216</v>
      </c>
      <c r="D873" s="60">
        <v>2</v>
      </c>
    </row>
    <row r="874" spans="1:4" x14ac:dyDescent="0.3">
      <c r="A874" s="57">
        <v>775</v>
      </c>
      <c r="B874" s="58">
        <v>334</v>
      </c>
      <c r="C874" s="59" t="s">
        <v>217</v>
      </c>
      <c r="D874" s="60" t="s">
        <v>37</v>
      </c>
    </row>
    <row r="875" spans="1:4" x14ac:dyDescent="0.3">
      <c r="A875" s="57">
        <v>776</v>
      </c>
      <c r="B875" s="58">
        <v>335</v>
      </c>
      <c r="C875" s="59" t="s">
        <v>217</v>
      </c>
      <c r="D875" s="60" t="s">
        <v>37</v>
      </c>
    </row>
    <row r="876" spans="1:4" x14ac:dyDescent="0.3">
      <c r="A876" s="57">
        <v>781</v>
      </c>
      <c r="B876" s="58">
        <v>327</v>
      </c>
      <c r="C876" s="59" t="s">
        <v>213</v>
      </c>
      <c r="D876" s="60" t="s">
        <v>37</v>
      </c>
    </row>
    <row r="877" spans="1:4" x14ac:dyDescent="0.3">
      <c r="A877" s="57">
        <v>782</v>
      </c>
      <c r="B877" s="58">
        <v>13069</v>
      </c>
      <c r="C877" s="59" t="s">
        <v>213</v>
      </c>
      <c r="D877" s="60">
        <v>1</v>
      </c>
    </row>
    <row r="878" spans="1:4" x14ac:dyDescent="0.3">
      <c r="A878" s="57">
        <v>783</v>
      </c>
      <c r="B878" s="58">
        <v>13072</v>
      </c>
      <c r="C878" s="59" t="s">
        <v>213</v>
      </c>
      <c r="D878" s="60">
        <v>1</v>
      </c>
    </row>
    <row r="879" spans="1:4" x14ac:dyDescent="0.3">
      <c r="A879" s="57">
        <v>784</v>
      </c>
      <c r="B879" s="58">
        <v>13075</v>
      </c>
      <c r="C879" s="59" t="s">
        <v>213</v>
      </c>
      <c r="D879" s="60">
        <v>1</v>
      </c>
    </row>
    <row r="880" spans="1:4" x14ac:dyDescent="0.3">
      <c r="A880" s="57">
        <v>785</v>
      </c>
      <c r="B880" s="58">
        <v>13078</v>
      </c>
      <c r="C880" s="59" t="s">
        <v>213</v>
      </c>
      <c r="D880" s="60">
        <v>1</v>
      </c>
    </row>
    <row r="881" spans="1:4" x14ac:dyDescent="0.3">
      <c r="A881" s="57">
        <v>786</v>
      </c>
      <c r="B881" s="58">
        <v>13081</v>
      </c>
      <c r="C881" s="59" t="s">
        <v>213</v>
      </c>
      <c r="D881" s="60">
        <v>1</v>
      </c>
    </row>
    <row r="882" spans="1:4" x14ac:dyDescent="0.3">
      <c r="A882" s="57">
        <v>787</v>
      </c>
      <c r="B882" s="58">
        <v>13082</v>
      </c>
      <c r="C882" s="59" t="s">
        <v>218</v>
      </c>
      <c r="D882" s="60">
        <v>2</v>
      </c>
    </row>
    <row r="883" spans="1:4" x14ac:dyDescent="0.3">
      <c r="A883" s="57">
        <v>787</v>
      </c>
      <c r="B883" s="58">
        <v>13083</v>
      </c>
      <c r="C883" s="59" t="s">
        <v>218</v>
      </c>
      <c r="D883" s="60">
        <v>1</v>
      </c>
    </row>
    <row r="884" spans="1:4" x14ac:dyDescent="0.3">
      <c r="A884" s="57">
        <v>788</v>
      </c>
      <c r="B884" s="58">
        <v>13084</v>
      </c>
      <c r="C884" s="59" t="s">
        <v>219</v>
      </c>
      <c r="D884" s="60">
        <v>1</v>
      </c>
    </row>
    <row r="885" spans="1:4" x14ac:dyDescent="0.3">
      <c r="A885" s="57">
        <v>789</v>
      </c>
      <c r="B885" s="58">
        <v>13085</v>
      </c>
      <c r="C885" s="59" t="s">
        <v>220</v>
      </c>
      <c r="D885" s="60">
        <v>2</v>
      </c>
    </row>
    <row r="886" spans="1:4" x14ac:dyDescent="0.3">
      <c r="A886" s="57">
        <v>789</v>
      </c>
      <c r="B886" s="58">
        <v>13086</v>
      </c>
      <c r="C886" s="59" t="s">
        <v>220</v>
      </c>
      <c r="D886" s="60">
        <v>1</v>
      </c>
    </row>
    <row r="887" spans="1:4" x14ac:dyDescent="0.3">
      <c r="A887" s="57">
        <v>790</v>
      </c>
      <c r="B887" s="58">
        <v>13087</v>
      </c>
      <c r="C887" s="59" t="s">
        <v>221</v>
      </c>
      <c r="D887" s="60">
        <v>1</v>
      </c>
    </row>
    <row r="888" spans="1:4" x14ac:dyDescent="0.3">
      <c r="A888" s="57">
        <v>791</v>
      </c>
      <c r="B888" s="58">
        <v>13088</v>
      </c>
      <c r="C888" s="59" t="s">
        <v>222</v>
      </c>
      <c r="D888" s="60">
        <v>2</v>
      </c>
    </row>
    <row r="889" spans="1:4" x14ac:dyDescent="0.3">
      <c r="A889" s="57">
        <v>791</v>
      </c>
      <c r="B889" s="58">
        <v>13089</v>
      </c>
      <c r="C889" s="59" t="s">
        <v>222</v>
      </c>
      <c r="D889" s="60">
        <v>1</v>
      </c>
    </row>
    <row r="890" spans="1:4" x14ac:dyDescent="0.3">
      <c r="A890" s="57">
        <v>792</v>
      </c>
      <c r="B890" s="58">
        <v>13090</v>
      </c>
      <c r="C890" s="59" t="s">
        <v>223</v>
      </c>
      <c r="D890" s="60">
        <v>1</v>
      </c>
    </row>
    <row r="891" spans="1:4" x14ac:dyDescent="0.3">
      <c r="A891" s="57">
        <v>793</v>
      </c>
      <c r="B891" s="58">
        <v>13091</v>
      </c>
      <c r="C891" s="59" t="s">
        <v>213</v>
      </c>
      <c r="D891" s="60">
        <v>2</v>
      </c>
    </row>
    <row r="892" spans="1:4" x14ac:dyDescent="0.3">
      <c r="A892" s="57">
        <v>793</v>
      </c>
      <c r="B892" s="58">
        <v>13092</v>
      </c>
      <c r="C892" s="59" t="s">
        <v>213</v>
      </c>
      <c r="D892" s="60">
        <v>1</v>
      </c>
    </row>
    <row r="893" spans="1:4" x14ac:dyDescent="0.3">
      <c r="A893" s="57">
        <v>794</v>
      </c>
      <c r="B893" s="58">
        <v>13093</v>
      </c>
      <c r="C893" s="59" t="s">
        <v>214</v>
      </c>
      <c r="D893" s="60">
        <v>2</v>
      </c>
    </row>
    <row r="894" spans="1:4" x14ac:dyDescent="0.3">
      <c r="A894" s="57">
        <v>801</v>
      </c>
      <c r="B894" s="58">
        <v>306</v>
      </c>
      <c r="C894" s="59" t="s">
        <v>140</v>
      </c>
      <c r="D894" s="60">
        <v>1</v>
      </c>
    </row>
    <row r="895" spans="1:4" x14ac:dyDescent="0.3">
      <c r="A895" s="57">
        <v>802</v>
      </c>
      <c r="B895" s="58">
        <v>14005</v>
      </c>
      <c r="C895" s="59" t="s">
        <v>224</v>
      </c>
      <c r="D895" s="60">
        <v>2</v>
      </c>
    </row>
    <row r="896" spans="1:4" x14ac:dyDescent="0.3">
      <c r="A896" s="57">
        <v>802</v>
      </c>
      <c r="B896" s="58">
        <v>14006</v>
      </c>
      <c r="C896" s="59" t="s">
        <v>224</v>
      </c>
      <c r="D896" s="60">
        <v>1</v>
      </c>
    </row>
    <row r="897" spans="1:4" x14ac:dyDescent="0.3">
      <c r="A897" s="57">
        <v>803</v>
      </c>
      <c r="B897" s="58">
        <v>14007</v>
      </c>
      <c r="C897" s="59" t="s">
        <v>225</v>
      </c>
      <c r="D897" s="60" t="s">
        <v>37</v>
      </c>
    </row>
    <row r="898" spans="1:4" x14ac:dyDescent="0.3">
      <c r="A898" s="57">
        <v>804</v>
      </c>
      <c r="B898" s="58">
        <v>14008</v>
      </c>
      <c r="C898" s="59" t="s">
        <v>224</v>
      </c>
      <c r="D898" s="60">
        <v>2</v>
      </c>
    </row>
    <row r="899" spans="1:4" x14ac:dyDescent="0.3">
      <c r="A899" s="57">
        <v>804</v>
      </c>
      <c r="B899" s="58">
        <v>14009</v>
      </c>
      <c r="C899" s="59" t="s">
        <v>224</v>
      </c>
      <c r="D899" s="60">
        <v>1</v>
      </c>
    </row>
    <row r="900" spans="1:4" x14ac:dyDescent="0.3">
      <c r="A900" s="57">
        <v>805</v>
      </c>
      <c r="B900" s="58">
        <v>14010</v>
      </c>
      <c r="C900" s="59" t="s">
        <v>225</v>
      </c>
      <c r="D900" s="60" t="s">
        <v>37</v>
      </c>
    </row>
    <row r="901" spans="1:4" x14ac:dyDescent="0.3">
      <c r="A901" s="57">
        <v>806</v>
      </c>
      <c r="B901" s="58">
        <v>14011</v>
      </c>
      <c r="C901" s="59" t="s">
        <v>224</v>
      </c>
      <c r="D901" s="60">
        <v>2</v>
      </c>
    </row>
    <row r="902" spans="1:4" x14ac:dyDescent="0.3">
      <c r="A902" s="57">
        <v>806</v>
      </c>
      <c r="B902" s="58">
        <v>14012</v>
      </c>
      <c r="C902" s="59" t="s">
        <v>224</v>
      </c>
      <c r="D902" s="60">
        <v>1</v>
      </c>
    </row>
    <row r="903" spans="1:4" x14ac:dyDescent="0.3">
      <c r="A903" s="57">
        <v>807</v>
      </c>
      <c r="B903" s="58">
        <v>14013</v>
      </c>
      <c r="C903" s="59" t="s">
        <v>225</v>
      </c>
      <c r="D903" s="60" t="s">
        <v>37</v>
      </c>
    </row>
    <row r="904" spans="1:4" x14ac:dyDescent="0.3">
      <c r="A904" s="57">
        <v>808</v>
      </c>
      <c r="B904" s="58">
        <v>14017</v>
      </c>
      <c r="C904" s="59" t="s">
        <v>224</v>
      </c>
      <c r="D904" s="60">
        <v>2</v>
      </c>
    </row>
    <row r="905" spans="1:4" x14ac:dyDescent="0.3">
      <c r="A905" s="57">
        <v>808</v>
      </c>
      <c r="B905" s="58">
        <v>14018</v>
      </c>
      <c r="C905" s="59" t="s">
        <v>224</v>
      </c>
      <c r="D905" s="60">
        <v>1</v>
      </c>
    </row>
    <row r="906" spans="1:4" x14ac:dyDescent="0.3">
      <c r="A906" s="57">
        <v>809</v>
      </c>
      <c r="B906" s="58">
        <v>14019</v>
      </c>
      <c r="C906" s="59" t="s">
        <v>225</v>
      </c>
      <c r="D906" s="60" t="s">
        <v>37</v>
      </c>
    </row>
    <row r="907" spans="1:4" x14ac:dyDescent="0.3">
      <c r="A907" s="57">
        <v>810</v>
      </c>
      <c r="B907" s="58">
        <v>14020</v>
      </c>
      <c r="C907" s="59" t="s">
        <v>224</v>
      </c>
      <c r="D907" s="60">
        <v>2</v>
      </c>
    </row>
    <row r="908" spans="1:4" x14ac:dyDescent="0.3">
      <c r="A908" s="57">
        <v>810</v>
      </c>
      <c r="B908" s="58">
        <v>14021</v>
      </c>
      <c r="C908" s="59" t="s">
        <v>224</v>
      </c>
      <c r="D908" s="60">
        <v>1</v>
      </c>
    </row>
    <row r="909" spans="1:4" x14ac:dyDescent="0.3">
      <c r="A909" s="57">
        <v>811</v>
      </c>
      <c r="B909" s="58">
        <v>14022</v>
      </c>
      <c r="C909" s="59" t="s">
        <v>225</v>
      </c>
      <c r="D909" s="60" t="s">
        <v>37</v>
      </c>
    </row>
    <row r="910" spans="1:4" x14ac:dyDescent="0.3">
      <c r="A910" s="57">
        <v>812</v>
      </c>
      <c r="B910" s="58">
        <v>14023</v>
      </c>
      <c r="C910" s="59" t="s">
        <v>224</v>
      </c>
      <c r="D910" s="60">
        <v>2</v>
      </c>
    </row>
    <row r="911" spans="1:4" x14ac:dyDescent="0.3">
      <c r="A911" s="57">
        <v>812</v>
      </c>
      <c r="B911" s="58">
        <v>14024</v>
      </c>
      <c r="C911" s="59" t="s">
        <v>224</v>
      </c>
      <c r="D911" s="60">
        <v>1</v>
      </c>
    </row>
    <row r="912" spans="1:4" x14ac:dyDescent="0.3">
      <c r="A912" s="57">
        <v>813</v>
      </c>
      <c r="B912" s="58">
        <v>14025</v>
      </c>
      <c r="C912" s="59" t="s">
        <v>225</v>
      </c>
      <c r="D912" s="60" t="s">
        <v>37</v>
      </c>
    </row>
    <row r="913" spans="1:4" x14ac:dyDescent="0.3">
      <c r="A913" s="57">
        <v>814</v>
      </c>
      <c r="B913" s="58">
        <v>14029</v>
      </c>
      <c r="C913" s="59" t="s">
        <v>224</v>
      </c>
      <c r="D913" s="60">
        <v>2</v>
      </c>
    </row>
    <row r="914" spans="1:4" x14ac:dyDescent="0.3">
      <c r="A914" s="57">
        <v>814</v>
      </c>
      <c r="B914" s="58">
        <v>14030</v>
      </c>
      <c r="C914" s="59" t="s">
        <v>224</v>
      </c>
      <c r="D914" s="60">
        <v>1</v>
      </c>
    </row>
    <row r="915" spans="1:4" x14ac:dyDescent="0.3">
      <c r="A915" s="57">
        <v>815</v>
      </c>
      <c r="B915" s="58">
        <v>14031</v>
      </c>
      <c r="C915" s="59" t="s">
        <v>225</v>
      </c>
      <c r="D915" s="60" t="s">
        <v>37</v>
      </c>
    </row>
    <row r="916" spans="1:4" x14ac:dyDescent="0.3">
      <c r="A916" s="57">
        <v>816</v>
      </c>
      <c r="B916" s="58">
        <v>14032</v>
      </c>
      <c r="C916" s="59" t="s">
        <v>224</v>
      </c>
      <c r="D916" s="60">
        <v>2</v>
      </c>
    </row>
    <row r="917" spans="1:4" x14ac:dyDescent="0.3">
      <c r="A917" s="57">
        <v>816</v>
      </c>
      <c r="B917" s="58">
        <v>14033</v>
      </c>
      <c r="C917" s="59" t="s">
        <v>224</v>
      </c>
      <c r="D917" s="60">
        <v>1</v>
      </c>
    </row>
    <row r="918" spans="1:4" x14ac:dyDescent="0.3">
      <c r="A918" s="57">
        <v>817</v>
      </c>
      <c r="B918" s="58">
        <v>14034</v>
      </c>
      <c r="C918" s="59" t="s">
        <v>225</v>
      </c>
      <c r="D918" s="60" t="s">
        <v>37</v>
      </c>
    </row>
    <row r="919" spans="1:4" x14ac:dyDescent="0.3">
      <c r="A919" s="57">
        <v>818</v>
      </c>
      <c r="B919" s="58">
        <v>14035</v>
      </c>
      <c r="C919" s="59" t="s">
        <v>224</v>
      </c>
      <c r="D919" s="60">
        <v>2</v>
      </c>
    </row>
    <row r="920" spans="1:4" x14ac:dyDescent="0.3">
      <c r="A920" s="57">
        <v>818</v>
      </c>
      <c r="B920" s="58">
        <v>14036</v>
      </c>
      <c r="C920" s="59" t="s">
        <v>224</v>
      </c>
      <c r="D920" s="60">
        <v>1</v>
      </c>
    </row>
    <row r="921" spans="1:4" x14ac:dyDescent="0.3">
      <c r="A921" s="57">
        <v>819</v>
      </c>
      <c r="B921" s="58">
        <v>14037</v>
      </c>
      <c r="C921" s="59" t="s">
        <v>225</v>
      </c>
      <c r="D921" s="60" t="s">
        <v>37</v>
      </c>
    </row>
    <row r="922" spans="1:4" x14ac:dyDescent="0.3">
      <c r="A922" s="57">
        <v>820</v>
      </c>
      <c r="B922" s="58">
        <v>14042</v>
      </c>
      <c r="C922" s="59" t="s">
        <v>224</v>
      </c>
      <c r="D922" s="60">
        <v>2</v>
      </c>
    </row>
    <row r="923" spans="1:4" x14ac:dyDescent="0.3">
      <c r="A923" s="57">
        <v>820</v>
      </c>
      <c r="B923" s="58">
        <v>14043</v>
      </c>
      <c r="C923" s="59" t="s">
        <v>224</v>
      </c>
      <c r="D923" s="60">
        <v>1</v>
      </c>
    </row>
    <row r="924" spans="1:4" x14ac:dyDescent="0.3">
      <c r="A924" s="57">
        <v>821</v>
      </c>
      <c r="B924" s="58">
        <v>14044</v>
      </c>
      <c r="C924" s="59" t="s">
        <v>225</v>
      </c>
      <c r="D924" s="60" t="s">
        <v>37</v>
      </c>
    </row>
    <row r="925" spans="1:4" x14ac:dyDescent="0.3">
      <c r="A925" s="57">
        <v>822</v>
      </c>
      <c r="B925" s="58">
        <v>14045</v>
      </c>
      <c r="C925" s="59" t="s">
        <v>224</v>
      </c>
      <c r="D925" s="60">
        <v>2</v>
      </c>
    </row>
    <row r="926" spans="1:4" x14ac:dyDescent="0.3">
      <c r="A926" s="57">
        <v>822</v>
      </c>
      <c r="B926" s="58">
        <v>14046</v>
      </c>
      <c r="C926" s="59" t="s">
        <v>224</v>
      </c>
      <c r="D926" s="60">
        <v>1</v>
      </c>
    </row>
    <row r="927" spans="1:4" x14ac:dyDescent="0.3">
      <c r="A927" s="57">
        <v>823</v>
      </c>
      <c r="B927" s="58">
        <v>14047</v>
      </c>
      <c r="C927" s="59" t="s">
        <v>225</v>
      </c>
      <c r="D927" s="60" t="s">
        <v>37</v>
      </c>
    </row>
    <row r="928" spans="1:4" x14ac:dyDescent="0.3">
      <c r="A928" s="57">
        <v>824</v>
      </c>
      <c r="B928" s="58">
        <v>14048</v>
      </c>
      <c r="C928" s="59" t="s">
        <v>224</v>
      </c>
      <c r="D928" s="60">
        <v>2</v>
      </c>
    </row>
    <row r="929" spans="1:4" x14ac:dyDescent="0.3">
      <c r="A929" s="57">
        <v>824</v>
      </c>
      <c r="B929" s="58">
        <v>14049</v>
      </c>
      <c r="C929" s="59" t="s">
        <v>224</v>
      </c>
      <c r="D929" s="60">
        <v>1</v>
      </c>
    </row>
    <row r="930" spans="1:4" x14ac:dyDescent="0.3">
      <c r="A930" s="57">
        <v>825</v>
      </c>
      <c r="B930" s="58">
        <v>14050</v>
      </c>
      <c r="C930" s="59" t="s">
        <v>225</v>
      </c>
      <c r="D930" s="60" t="s">
        <v>37</v>
      </c>
    </row>
    <row r="931" spans="1:4" x14ac:dyDescent="0.3">
      <c r="A931" s="57">
        <v>826</v>
      </c>
      <c r="B931" s="58">
        <v>14069</v>
      </c>
      <c r="C931" s="59" t="s">
        <v>224</v>
      </c>
      <c r="D931" s="60">
        <v>2</v>
      </c>
    </row>
    <row r="932" spans="1:4" x14ac:dyDescent="0.3">
      <c r="A932" s="57">
        <v>826</v>
      </c>
      <c r="B932" s="58">
        <v>14070</v>
      </c>
      <c r="C932" s="59" t="s">
        <v>224</v>
      </c>
      <c r="D932" s="60">
        <v>1</v>
      </c>
    </row>
    <row r="933" spans="1:4" x14ac:dyDescent="0.3">
      <c r="A933" s="57">
        <v>827</v>
      </c>
      <c r="B933" s="58">
        <v>14071</v>
      </c>
      <c r="C933" s="59" t="s">
        <v>225</v>
      </c>
      <c r="D933" s="60" t="s">
        <v>37</v>
      </c>
    </row>
    <row r="934" spans="1:4" x14ac:dyDescent="0.3">
      <c r="A934" s="57">
        <v>828</v>
      </c>
      <c r="B934" s="58">
        <v>14072</v>
      </c>
      <c r="C934" s="59" t="s">
        <v>224</v>
      </c>
      <c r="D934" s="60">
        <v>2</v>
      </c>
    </row>
    <row r="935" spans="1:4" x14ac:dyDescent="0.3">
      <c r="A935" s="57">
        <v>828</v>
      </c>
      <c r="B935" s="58">
        <v>14073</v>
      </c>
      <c r="C935" s="59" t="s">
        <v>224</v>
      </c>
      <c r="D935" s="60">
        <v>1</v>
      </c>
    </row>
    <row r="936" spans="1:4" x14ac:dyDescent="0.3">
      <c r="A936" s="57">
        <v>829</v>
      </c>
      <c r="B936" s="58">
        <v>14074</v>
      </c>
      <c r="C936" s="59" t="s">
        <v>225</v>
      </c>
      <c r="D936" s="60" t="s">
        <v>37</v>
      </c>
    </row>
    <row r="937" spans="1:4" x14ac:dyDescent="0.3">
      <c r="A937" s="57">
        <v>830</v>
      </c>
      <c r="B937" s="58">
        <v>14075</v>
      </c>
      <c r="C937" s="59" t="s">
        <v>224</v>
      </c>
      <c r="D937" s="60">
        <v>2</v>
      </c>
    </row>
    <row r="938" spans="1:4" x14ac:dyDescent="0.3">
      <c r="A938" s="57">
        <v>830</v>
      </c>
      <c r="B938" s="58">
        <v>14076</v>
      </c>
      <c r="C938" s="59" t="s">
        <v>224</v>
      </c>
      <c r="D938" s="60">
        <v>1</v>
      </c>
    </row>
    <row r="939" spans="1:4" x14ac:dyDescent="0.3">
      <c r="A939" s="57">
        <v>831</v>
      </c>
      <c r="B939" s="58">
        <v>14077</v>
      </c>
      <c r="C939" s="59" t="s">
        <v>225</v>
      </c>
      <c r="D939" s="60" t="s">
        <v>37</v>
      </c>
    </row>
    <row r="940" spans="1:4" x14ac:dyDescent="0.3">
      <c r="A940" s="57">
        <v>832</v>
      </c>
      <c r="B940" s="58">
        <v>14085</v>
      </c>
      <c r="C940" s="59" t="s">
        <v>224</v>
      </c>
      <c r="D940" s="60">
        <v>2</v>
      </c>
    </row>
    <row r="941" spans="1:4" x14ac:dyDescent="0.3">
      <c r="A941" s="57">
        <v>832</v>
      </c>
      <c r="B941" s="58">
        <v>14086</v>
      </c>
      <c r="C941" s="59" t="s">
        <v>224</v>
      </c>
      <c r="D941" s="60">
        <v>1</v>
      </c>
    </row>
    <row r="942" spans="1:4" x14ac:dyDescent="0.3">
      <c r="A942" s="57">
        <v>833</v>
      </c>
      <c r="B942" s="58">
        <v>14087</v>
      </c>
      <c r="C942" s="59" t="s">
        <v>225</v>
      </c>
      <c r="D942" s="60" t="s">
        <v>37</v>
      </c>
    </row>
    <row r="943" spans="1:4" x14ac:dyDescent="0.3">
      <c r="A943" s="57">
        <v>834</v>
      </c>
      <c r="B943" s="58">
        <v>14088</v>
      </c>
      <c r="C943" s="59" t="s">
        <v>224</v>
      </c>
      <c r="D943" s="60">
        <v>2</v>
      </c>
    </row>
    <row r="944" spans="1:4" x14ac:dyDescent="0.3">
      <c r="A944" s="57">
        <v>834</v>
      </c>
      <c r="B944" s="58">
        <v>14089</v>
      </c>
      <c r="C944" s="59" t="s">
        <v>224</v>
      </c>
      <c r="D944" s="60">
        <v>1</v>
      </c>
    </row>
    <row r="945" spans="1:4" x14ac:dyDescent="0.3">
      <c r="A945" s="57">
        <v>835</v>
      </c>
      <c r="B945" s="58">
        <v>14090</v>
      </c>
      <c r="C945" s="59" t="s">
        <v>225</v>
      </c>
      <c r="D945" s="60" t="s">
        <v>37</v>
      </c>
    </row>
    <row r="946" spans="1:4" x14ac:dyDescent="0.3">
      <c r="A946" s="57">
        <v>836</v>
      </c>
      <c r="B946" s="58">
        <v>14091</v>
      </c>
      <c r="C946" s="59" t="s">
        <v>224</v>
      </c>
      <c r="D946" s="60">
        <v>2</v>
      </c>
    </row>
    <row r="947" spans="1:4" x14ac:dyDescent="0.3">
      <c r="A947" s="57">
        <v>836</v>
      </c>
      <c r="B947" s="58">
        <v>14092</v>
      </c>
      <c r="C947" s="59" t="s">
        <v>224</v>
      </c>
      <c r="D947" s="60">
        <v>1</v>
      </c>
    </row>
    <row r="948" spans="1:4" x14ac:dyDescent="0.3">
      <c r="A948" s="57">
        <v>837</v>
      </c>
      <c r="B948" s="58">
        <v>14093</v>
      </c>
      <c r="C948" s="59" t="s">
        <v>225</v>
      </c>
      <c r="D948" s="60" t="s">
        <v>37</v>
      </c>
    </row>
    <row r="949" spans="1:4" x14ac:dyDescent="0.3">
      <c r="A949" s="57">
        <v>838</v>
      </c>
      <c r="B949" s="58">
        <v>14094</v>
      </c>
      <c r="C949" s="59" t="s">
        <v>224</v>
      </c>
      <c r="D949" s="60">
        <v>2</v>
      </c>
    </row>
    <row r="950" spans="1:4" x14ac:dyDescent="0.3">
      <c r="A950" s="57">
        <v>838</v>
      </c>
      <c r="B950" s="58">
        <v>14095</v>
      </c>
      <c r="C950" s="59" t="s">
        <v>224</v>
      </c>
      <c r="D950" s="60">
        <v>1</v>
      </c>
    </row>
    <row r="951" spans="1:4" x14ac:dyDescent="0.3">
      <c r="A951" s="57">
        <v>839</v>
      </c>
      <c r="B951" s="58">
        <v>14096</v>
      </c>
      <c r="C951" s="59" t="s">
        <v>225</v>
      </c>
      <c r="D951" s="60" t="s">
        <v>37</v>
      </c>
    </row>
    <row r="952" spans="1:4" x14ac:dyDescent="0.3">
      <c r="A952" s="57">
        <v>840</v>
      </c>
      <c r="B952" s="58">
        <v>14110</v>
      </c>
      <c r="C952" s="59" t="s">
        <v>224</v>
      </c>
      <c r="D952" s="60">
        <v>2</v>
      </c>
    </row>
    <row r="953" spans="1:4" x14ac:dyDescent="0.3">
      <c r="A953" s="57">
        <v>840</v>
      </c>
      <c r="B953" s="58">
        <v>14111</v>
      </c>
      <c r="C953" s="59" t="s">
        <v>224</v>
      </c>
      <c r="D953" s="60">
        <v>1</v>
      </c>
    </row>
    <row r="954" spans="1:4" x14ac:dyDescent="0.3">
      <c r="A954" s="57">
        <v>841</v>
      </c>
      <c r="B954" s="58">
        <v>14112</v>
      </c>
      <c r="C954" s="59" t="s">
        <v>225</v>
      </c>
      <c r="D954" s="60" t="s">
        <v>37</v>
      </c>
    </row>
    <row r="955" spans="1:4" x14ac:dyDescent="0.3">
      <c r="A955" s="57">
        <v>842</v>
      </c>
      <c r="B955" s="58">
        <v>14113</v>
      </c>
      <c r="C955" s="59" t="s">
        <v>224</v>
      </c>
      <c r="D955" s="60">
        <v>2</v>
      </c>
    </row>
    <row r="956" spans="1:4" x14ac:dyDescent="0.3">
      <c r="A956" s="57">
        <v>842</v>
      </c>
      <c r="B956" s="58">
        <v>14114</v>
      </c>
      <c r="C956" s="59" t="s">
        <v>224</v>
      </c>
      <c r="D956" s="60">
        <v>1</v>
      </c>
    </row>
    <row r="957" spans="1:4" x14ac:dyDescent="0.3">
      <c r="A957" s="57">
        <v>843</v>
      </c>
      <c r="B957" s="58">
        <v>14115</v>
      </c>
      <c r="C957" s="59" t="s">
        <v>225</v>
      </c>
      <c r="D957" s="60" t="s">
        <v>37</v>
      </c>
    </row>
    <row r="958" spans="1:4" x14ac:dyDescent="0.3">
      <c r="A958" s="57">
        <v>844</v>
      </c>
      <c r="B958" s="58">
        <v>14116</v>
      </c>
      <c r="C958" s="59" t="s">
        <v>224</v>
      </c>
      <c r="D958" s="60">
        <v>2</v>
      </c>
    </row>
    <row r="959" spans="1:4" x14ac:dyDescent="0.3">
      <c r="A959" s="57">
        <v>844</v>
      </c>
      <c r="B959" s="58">
        <v>14117</v>
      </c>
      <c r="C959" s="59" t="s">
        <v>224</v>
      </c>
      <c r="D959" s="60">
        <v>1</v>
      </c>
    </row>
    <row r="960" spans="1:4" x14ac:dyDescent="0.3">
      <c r="A960" s="57">
        <v>845</v>
      </c>
      <c r="B960" s="58">
        <v>14118</v>
      </c>
      <c r="C960" s="59" t="s">
        <v>225</v>
      </c>
      <c r="D960" s="60" t="s">
        <v>37</v>
      </c>
    </row>
    <row r="961" spans="1:4" x14ac:dyDescent="0.3">
      <c r="A961" s="57">
        <v>846</v>
      </c>
      <c r="B961" s="58">
        <v>14138</v>
      </c>
      <c r="C961" s="59" t="s">
        <v>224</v>
      </c>
      <c r="D961" s="60">
        <v>2</v>
      </c>
    </row>
    <row r="962" spans="1:4" x14ac:dyDescent="0.3">
      <c r="A962" s="57">
        <v>846</v>
      </c>
      <c r="B962" s="58">
        <v>14139</v>
      </c>
      <c r="C962" s="59" t="s">
        <v>224</v>
      </c>
      <c r="D962" s="60">
        <v>1</v>
      </c>
    </row>
    <row r="963" spans="1:4" x14ac:dyDescent="0.3">
      <c r="A963" s="57">
        <v>847</v>
      </c>
      <c r="B963" s="58">
        <v>14140</v>
      </c>
      <c r="C963" s="59" t="s">
        <v>225</v>
      </c>
      <c r="D963" s="60" t="s">
        <v>37</v>
      </c>
    </row>
    <row r="964" spans="1:4" x14ac:dyDescent="0.3">
      <c r="A964" s="57">
        <v>848</v>
      </c>
      <c r="B964" s="58">
        <v>14141</v>
      </c>
      <c r="C964" s="59" t="s">
        <v>224</v>
      </c>
      <c r="D964" s="60">
        <v>2</v>
      </c>
    </row>
    <row r="965" spans="1:4" x14ac:dyDescent="0.3">
      <c r="A965" s="57">
        <v>848</v>
      </c>
      <c r="B965" s="58">
        <v>14142</v>
      </c>
      <c r="C965" s="59" t="s">
        <v>224</v>
      </c>
      <c r="D965" s="60">
        <v>1</v>
      </c>
    </row>
    <row r="966" spans="1:4" x14ac:dyDescent="0.3">
      <c r="A966" s="57">
        <v>849</v>
      </c>
      <c r="B966" s="58">
        <v>14143</v>
      </c>
      <c r="C966" s="59" t="s">
        <v>225</v>
      </c>
      <c r="D966" s="60" t="s">
        <v>37</v>
      </c>
    </row>
    <row r="967" spans="1:4" x14ac:dyDescent="0.3">
      <c r="A967" s="57">
        <v>850</v>
      </c>
      <c r="B967" s="58">
        <v>14014</v>
      </c>
      <c r="C967" s="59" t="s">
        <v>225</v>
      </c>
      <c r="D967" s="60" t="s">
        <v>37</v>
      </c>
    </row>
    <row r="968" spans="1:4" x14ac:dyDescent="0.3">
      <c r="A968" s="57">
        <v>851</v>
      </c>
      <c r="B968" s="58">
        <v>14038</v>
      </c>
      <c r="C968" s="59" t="s">
        <v>225</v>
      </c>
      <c r="D968" s="60" t="s">
        <v>37</v>
      </c>
    </row>
    <row r="969" spans="1:4" x14ac:dyDescent="0.3">
      <c r="A969" s="57">
        <v>852</v>
      </c>
      <c r="B969" s="58">
        <v>14001</v>
      </c>
      <c r="C969" s="59" t="s">
        <v>224</v>
      </c>
      <c r="D969" s="60">
        <v>2</v>
      </c>
    </row>
    <row r="970" spans="1:4" x14ac:dyDescent="0.3">
      <c r="A970" s="57">
        <v>852</v>
      </c>
      <c r="B970" s="58">
        <v>14002</v>
      </c>
      <c r="C970" s="59" t="s">
        <v>224</v>
      </c>
      <c r="D970" s="60">
        <v>1</v>
      </c>
    </row>
    <row r="971" spans="1:4" x14ac:dyDescent="0.3">
      <c r="A971" s="57">
        <v>853</v>
      </c>
      <c r="B971" s="58">
        <v>14081</v>
      </c>
      <c r="C971" s="59" t="s">
        <v>224</v>
      </c>
      <c r="D971" s="60">
        <v>2</v>
      </c>
    </row>
    <row r="972" spans="1:4" x14ac:dyDescent="0.3">
      <c r="A972" s="57">
        <v>853</v>
      </c>
      <c r="B972" s="58">
        <v>14082</v>
      </c>
      <c r="C972" s="59" t="s">
        <v>224</v>
      </c>
      <c r="D972" s="60">
        <v>1</v>
      </c>
    </row>
    <row r="973" spans="1:4" x14ac:dyDescent="0.3">
      <c r="A973" s="57">
        <v>854</v>
      </c>
      <c r="B973" s="58">
        <v>14083</v>
      </c>
      <c r="C973" s="59" t="s">
        <v>224</v>
      </c>
      <c r="D973" s="60">
        <v>2</v>
      </c>
    </row>
    <row r="974" spans="1:4" x14ac:dyDescent="0.3">
      <c r="A974" s="57">
        <v>854</v>
      </c>
      <c r="B974" s="58">
        <v>14084</v>
      </c>
      <c r="C974" s="59" t="s">
        <v>224</v>
      </c>
      <c r="D974" s="60">
        <v>1</v>
      </c>
    </row>
    <row r="975" spans="1:4" x14ac:dyDescent="0.3">
      <c r="A975" s="57">
        <v>855</v>
      </c>
      <c r="B975" s="58">
        <v>14103</v>
      </c>
      <c r="C975" s="59" t="s">
        <v>224</v>
      </c>
      <c r="D975" s="60">
        <v>2</v>
      </c>
    </row>
    <row r="976" spans="1:4" x14ac:dyDescent="0.3">
      <c r="A976" s="57">
        <v>855</v>
      </c>
      <c r="B976" s="58">
        <v>14104</v>
      </c>
      <c r="C976" s="59" t="s">
        <v>224</v>
      </c>
      <c r="D976" s="60">
        <v>1</v>
      </c>
    </row>
    <row r="977" spans="1:4" x14ac:dyDescent="0.3">
      <c r="A977" s="57">
        <v>856</v>
      </c>
      <c r="B977" s="58">
        <v>14105</v>
      </c>
      <c r="C977" s="59" t="s">
        <v>224</v>
      </c>
      <c r="D977" s="60">
        <v>2</v>
      </c>
    </row>
    <row r="978" spans="1:4" x14ac:dyDescent="0.3">
      <c r="A978" s="57">
        <v>856</v>
      </c>
      <c r="B978" s="58">
        <v>14106</v>
      </c>
      <c r="C978" s="59" t="s">
        <v>224</v>
      </c>
      <c r="D978" s="60">
        <v>1</v>
      </c>
    </row>
    <row r="979" spans="1:4" x14ac:dyDescent="0.3">
      <c r="A979" s="57">
        <v>857</v>
      </c>
      <c r="B979" s="58">
        <v>14015</v>
      </c>
      <c r="C979" s="59" t="s">
        <v>224</v>
      </c>
      <c r="D979" s="60">
        <v>2</v>
      </c>
    </row>
    <row r="980" spans="1:4" x14ac:dyDescent="0.3">
      <c r="A980" s="57">
        <v>857</v>
      </c>
      <c r="B980" s="58">
        <v>14016</v>
      </c>
      <c r="C980" s="59" t="s">
        <v>224</v>
      </c>
      <c r="D980" s="60">
        <v>1</v>
      </c>
    </row>
    <row r="981" spans="1:4" x14ac:dyDescent="0.3">
      <c r="A981" s="57">
        <v>858</v>
      </c>
      <c r="B981" s="58">
        <v>14039</v>
      </c>
      <c r="C981" s="59" t="s">
        <v>224</v>
      </c>
      <c r="D981" s="60">
        <v>2</v>
      </c>
    </row>
    <row r="982" spans="1:4" x14ac:dyDescent="0.3">
      <c r="A982" s="57">
        <v>858</v>
      </c>
      <c r="B982" s="58">
        <v>14040</v>
      </c>
      <c r="C982" s="59" t="s">
        <v>224</v>
      </c>
      <c r="D982" s="60">
        <v>1</v>
      </c>
    </row>
    <row r="983" spans="1:4" x14ac:dyDescent="0.3">
      <c r="A983" s="57">
        <v>859</v>
      </c>
      <c r="B983" s="58">
        <v>14003</v>
      </c>
      <c r="C983" s="59" t="s">
        <v>224</v>
      </c>
      <c r="D983" s="60">
        <v>2</v>
      </c>
    </row>
    <row r="984" spans="1:4" x14ac:dyDescent="0.3">
      <c r="A984" s="57">
        <v>859</v>
      </c>
      <c r="B984" s="58">
        <v>14004</v>
      </c>
      <c r="C984" s="59" t="s">
        <v>224</v>
      </c>
      <c r="D984" s="60">
        <v>1</v>
      </c>
    </row>
    <row r="985" spans="1:4" x14ac:dyDescent="0.3">
      <c r="A985" s="57">
        <v>860</v>
      </c>
      <c r="B985" s="58">
        <v>14026</v>
      </c>
      <c r="C985" s="59" t="s">
        <v>224</v>
      </c>
      <c r="D985" s="60">
        <v>2</v>
      </c>
    </row>
    <row r="986" spans="1:4" x14ac:dyDescent="0.3">
      <c r="A986" s="57">
        <v>860</v>
      </c>
      <c r="B986" s="58">
        <v>14027</v>
      </c>
      <c r="C986" s="59" t="s">
        <v>224</v>
      </c>
      <c r="D986" s="60">
        <v>1</v>
      </c>
    </row>
    <row r="987" spans="1:4" x14ac:dyDescent="0.3">
      <c r="A987" s="57">
        <v>861</v>
      </c>
      <c r="B987" s="58">
        <v>14051</v>
      </c>
      <c r="C987" s="59" t="s">
        <v>224</v>
      </c>
      <c r="D987" s="60">
        <v>2</v>
      </c>
    </row>
    <row r="988" spans="1:4" x14ac:dyDescent="0.3">
      <c r="A988" s="57">
        <v>861</v>
      </c>
      <c r="B988" s="58">
        <v>14052</v>
      </c>
      <c r="C988" s="59" t="s">
        <v>224</v>
      </c>
      <c r="D988" s="60">
        <v>1</v>
      </c>
    </row>
    <row r="989" spans="1:4" x14ac:dyDescent="0.3">
      <c r="A989" s="57">
        <v>862</v>
      </c>
      <c r="B989" s="58">
        <v>14107</v>
      </c>
      <c r="C989" s="59" t="s">
        <v>224</v>
      </c>
      <c r="D989" s="60">
        <v>2</v>
      </c>
    </row>
    <row r="990" spans="1:4" x14ac:dyDescent="0.3">
      <c r="A990" s="57">
        <v>862</v>
      </c>
      <c r="B990" s="58">
        <v>14108</v>
      </c>
      <c r="C990" s="59" t="s">
        <v>224</v>
      </c>
      <c r="D990" s="60">
        <v>1</v>
      </c>
    </row>
    <row r="991" spans="1:4" x14ac:dyDescent="0.3">
      <c r="A991" s="57">
        <v>863</v>
      </c>
      <c r="B991" s="58">
        <v>14054</v>
      </c>
      <c r="C991" s="59" t="s">
        <v>224</v>
      </c>
      <c r="D991" s="60">
        <v>2</v>
      </c>
    </row>
    <row r="992" spans="1:4" x14ac:dyDescent="0.3">
      <c r="A992" s="57">
        <v>863</v>
      </c>
      <c r="B992" s="58">
        <v>14055</v>
      </c>
      <c r="C992" s="59" t="s">
        <v>224</v>
      </c>
      <c r="D992" s="60">
        <v>1</v>
      </c>
    </row>
    <row r="993" spans="1:4" x14ac:dyDescent="0.3">
      <c r="A993" s="57">
        <v>864</v>
      </c>
      <c r="B993" s="58">
        <v>14121</v>
      </c>
      <c r="C993" s="59" t="s">
        <v>224</v>
      </c>
      <c r="D993" s="60">
        <v>2</v>
      </c>
    </row>
    <row r="994" spans="1:4" x14ac:dyDescent="0.3">
      <c r="A994" s="57">
        <v>864</v>
      </c>
      <c r="B994" s="58">
        <v>14122</v>
      </c>
      <c r="C994" s="59" t="s">
        <v>224</v>
      </c>
      <c r="D994" s="60">
        <v>1</v>
      </c>
    </row>
    <row r="995" spans="1:4" x14ac:dyDescent="0.3">
      <c r="A995" s="57">
        <v>865</v>
      </c>
      <c r="B995" s="58">
        <v>14057</v>
      </c>
      <c r="C995" s="59" t="s">
        <v>224</v>
      </c>
      <c r="D995" s="60">
        <v>2</v>
      </c>
    </row>
    <row r="996" spans="1:4" x14ac:dyDescent="0.3">
      <c r="A996" s="57">
        <v>865</v>
      </c>
      <c r="B996" s="58">
        <v>14058</v>
      </c>
      <c r="C996" s="59" t="s">
        <v>224</v>
      </c>
      <c r="D996" s="60">
        <v>1</v>
      </c>
    </row>
    <row r="997" spans="1:4" x14ac:dyDescent="0.3">
      <c r="A997" s="57">
        <v>866</v>
      </c>
      <c r="B997" s="58">
        <v>14059</v>
      </c>
      <c r="C997" s="59" t="s">
        <v>225</v>
      </c>
      <c r="D997" s="60" t="s">
        <v>37</v>
      </c>
    </row>
    <row r="998" spans="1:4" x14ac:dyDescent="0.3">
      <c r="A998" s="57">
        <v>867</v>
      </c>
      <c r="B998" s="58">
        <v>14060</v>
      </c>
      <c r="C998" s="59" t="s">
        <v>224</v>
      </c>
      <c r="D998" s="60">
        <v>2</v>
      </c>
    </row>
    <row r="999" spans="1:4" x14ac:dyDescent="0.3">
      <c r="A999" s="57">
        <v>867</v>
      </c>
      <c r="B999" s="58">
        <v>14061</v>
      </c>
      <c r="C999" s="59" t="s">
        <v>224</v>
      </c>
      <c r="D999" s="60">
        <v>1</v>
      </c>
    </row>
    <row r="1000" spans="1:4" x14ac:dyDescent="0.3">
      <c r="A1000" s="57">
        <v>868</v>
      </c>
      <c r="B1000" s="58">
        <v>14062</v>
      </c>
      <c r="C1000" s="59" t="s">
        <v>225</v>
      </c>
      <c r="D1000" s="60" t="s">
        <v>37</v>
      </c>
    </row>
    <row r="1001" spans="1:4" x14ac:dyDescent="0.3">
      <c r="A1001" s="57">
        <v>869</v>
      </c>
      <c r="B1001" s="58">
        <v>14063</v>
      </c>
      <c r="C1001" s="59" t="s">
        <v>224</v>
      </c>
      <c r="D1001" s="60">
        <v>2</v>
      </c>
    </row>
    <row r="1002" spans="1:4" x14ac:dyDescent="0.3">
      <c r="A1002" s="57">
        <v>869</v>
      </c>
      <c r="B1002" s="58">
        <v>14064</v>
      </c>
      <c r="C1002" s="59" t="s">
        <v>224</v>
      </c>
      <c r="D1002" s="60">
        <v>1</v>
      </c>
    </row>
    <row r="1003" spans="1:4" x14ac:dyDescent="0.3">
      <c r="A1003" s="57">
        <v>870</v>
      </c>
      <c r="B1003" s="58">
        <v>14065</v>
      </c>
      <c r="C1003" s="59" t="s">
        <v>225</v>
      </c>
      <c r="D1003" s="60" t="s">
        <v>37</v>
      </c>
    </row>
    <row r="1004" spans="1:4" x14ac:dyDescent="0.3">
      <c r="A1004" s="57">
        <v>871</v>
      </c>
      <c r="B1004" s="58">
        <v>14066</v>
      </c>
      <c r="C1004" s="59" t="s">
        <v>224</v>
      </c>
      <c r="D1004" s="60">
        <v>2</v>
      </c>
    </row>
    <row r="1005" spans="1:4" x14ac:dyDescent="0.3">
      <c r="A1005" s="57">
        <v>871</v>
      </c>
      <c r="B1005" s="58">
        <v>14067</v>
      </c>
      <c r="C1005" s="59" t="s">
        <v>224</v>
      </c>
      <c r="D1005" s="60">
        <v>1</v>
      </c>
    </row>
    <row r="1006" spans="1:4" x14ac:dyDescent="0.3">
      <c r="A1006" s="57">
        <v>872</v>
      </c>
      <c r="B1006" s="58">
        <v>14068</v>
      </c>
      <c r="C1006" s="59" t="s">
        <v>225</v>
      </c>
      <c r="D1006" s="60" t="s">
        <v>37</v>
      </c>
    </row>
    <row r="1007" spans="1:4" x14ac:dyDescent="0.3">
      <c r="A1007" s="57">
        <v>873</v>
      </c>
      <c r="B1007" s="58">
        <v>14078</v>
      </c>
      <c r="C1007" s="59" t="s">
        <v>224</v>
      </c>
      <c r="D1007" s="60">
        <v>2</v>
      </c>
    </row>
    <row r="1008" spans="1:4" x14ac:dyDescent="0.3">
      <c r="A1008" s="57">
        <v>873</v>
      </c>
      <c r="B1008" s="58">
        <v>14079</v>
      </c>
      <c r="C1008" s="59" t="s">
        <v>224</v>
      </c>
      <c r="D1008" s="60">
        <v>1</v>
      </c>
    </row>
    <row r="1009" spans="1:4" x14ac:dyDescent="0.3">
      <c r="A1009" s="57">
        <v>874</v>
      </c>
      <c r="B1009" s="58">
        <v>14080</v>
      </c>
      <c r="C1009" s="59" t="s">
        <v>225</v>
      </c>
      <c r="D1009" s="60" t="s">
        <v>37</v>
      </c>
    </row>
    <row r="1010" spans="1:4" x14ac:dyDescent="0.3">
      <c r="A1010" s="57">
        <v>875</v>
      </c>
      <c r="B1010" s="58">
        <v>14100</v>
      </c>
      <c r="C1010" s="59" t="s">
        <v>224</v>
      </c>
      <c r="D1010" s="60">
        <v>2</v>
      </c>
    </row>
    <row r="1011" spans="1:4" x14ac:dyDescent="0.3">
      <c r="A1011" s="57">
        <v>875</v>
      </c>
      <c r="B1011" s="58">
        <v>14101</v>
      </c>
      <c r="C1011" s="59" t="s">
        <v>224</v>
      </c>
      <c r="D1011" s="60">
        <v>1</v>
      </c>
    </row>
    <row r="1012" spans="1:4" x14ac:dyDescent="0.3">
      <c r="A1012" s="57">
        <v>876</v>
      </c>
      <c r="B1012" s="58">
        <v>14102</v>
      </c>
      <c r="C1012" s="59" t="s">
        <v>225</v>
      </c>
      <c r="D1012" s="60" t="s">
        <v>37</v>
      </c>
    </row>
    <row r="1013" spans="1:4" x14ac:dyDescent="0.3">
      <c r="A1013" s="57">
        <v>877</v>
      </c>
      <c r="B1013" s="58">
        <v>14123</v>
      </c>
      <c r="C1013" s="59" t="s">
        <v>224</v>
      </c>
      <c r="D1013" s="60">
        <v>2</v>
      </c>
    </row>
    <row r="1014" spans="1:4" x14ac:dyDescent="0.3">
      <c r="A1014" s="57">
        <v>877</v>
      </c>
      <c r="B1014" s="58">
        <v>14124</v>
      </c>
      <c r="C1014" s="59" t="s">
        <v>224</v>
      </c>
      <c r="D1014" s="60">
        <v>1</v>
      </c>
    </row>
    <row r="1015" spans="1:4" x14ac:dyDescent="0.3">
      <c r="A1015" s="57">
        <v>878</v>
      </c>
      <c r="B1015" s="58">
        <v>14125</v>
      </c>
      <c r="C1015" s="59" t="s">
        <v>225</v>
      </c>
      <c r="D1015" s="60" t="s">
        <v>37</v>
      </c>
    </row>
    <row r="1016" spans="1:4" x14ac:dyDescent="0.3">
      <c r="A1016" s="57">
        <v>879</v>
      </c>
      <c r="B1016" s="58">
        <v>14126</v>
      </c>
      <c r="C1016" s="59" t="s">
        <v>224</v>
      </c>
      <c r="D1016" s="60">
        <v>2</v>
      </c>
    </row>
    <row r="1017" spans="1:4" x14ac:dyDescent="0.3">
      <c r="A1017" s="57">
        <v>879</v>
      </c>
      <c r="B1017" s="58">
        <v>14127</v>
      </c>
      <c r="C1017" s="59" t="s">
        <v>224</v>
      </c>
      <c r="D1017" s="60">
        <v>1</v>
      </c>
    </row>
    <row r="1018" spans="1:4" x14ac:dyDescent="0.3">
      <c r="A1018" s="57">
        <v>880</v>
      </c>
      <c r="B1018" s="58">
        <v>14128</v>
      </c>
      <c r="C1018" s="59" t="s">
        <v>225</v>
      </c>
      <c r="D1018" s="60" t="s">
        <v>37</v>
      </c>
    </row>
    <row r="1019" spans="1:4" x14ac:dyDescent="0.3">
      <c r="A1019" s="57">
        <v>881</v>
      </c>
      <c r="B1019" s="58">
        <v>14129</v>
      </c>
      <c r="C1019" s="59" t="s">
        <v>224</v>
      </c>
      <c r="D1019" s="60">
        <v>2</v>
      </c>
    </row>
    <row r="1020" spans="1:4" x14ac:dyDescent="0.3">
      <c r="A1020" s="57">
        <v>881</v>
      </c>
      <c r="B1020" s="58">
        <v>14130</v>
      </c>
      <c r="C1020" s="59" t="s">
        <v>224</v>
      </c>
      <c r="D1020" s="60">
        <v>1</v>
      </c>
    </row>
    <row r="1021" spans="1:4" x14ac:dyDescent="0.3">
      <c r="A1021" s="57">
        <v>882</v>
      </c>
      <c r="B1021" s="58">
        <v>14131</v>
      </c>
      <c r="C1021" s="59" t="s">
        <v>225</v>
      </c>
      <c r="D1021" s="60" t="s">
        <v>37</v>
      </c>
    </row>
    <row r="1022" spans="1:4" x14ac:dyDescent="0.3">
      <c r="A1022" s="57">
        <v>883</v>
      </c>
      <c r="B1022" s="58">
        <v>14132</v>
      </c>
      <c r="C1022" s="59" t="s">
        <v>224</v>
      </c>
      <c r="D1022" s="60">
        <v>2</v>
      </c>
    </row>
    <row r="1023" spans="1:4" x14ac:dyDescent="0.3">
      <c r="A1023" s="57">
        <v>883</v>
      </c>
      <c r="B1023" s="58">
        <v>14133</v>
      </c>
      <c r="C1023" s="59" t="s">
        <v>224</v>
      </c>
      <c r="D1023" s="60">
        <v>1</v>
      </c>
    </row>
    <row r="1024" spans="1:4" x14ac:dyDescent="0.3">
      <c r="A1024" s="57">
        <v>884</v>
      </c>
      <c r="B1024" s="58">
        <v>14134</v>
      </c>
      <c r="C1024" s="59" t="s">
        <v>225</v>
      </c>
      <c r="D1024" s="60" t="s">
        <v>37</v>
      </c>
    </row>
    <row r="1025" spans="1:4" x14ac:dyDescent="0.3">
      <c r="A1025" s="57">
        <v>885</v>
      </c>
      <c r="B1025" s="58">
        <v>14135</v>
      </c>
      <c r="C1025" s="59" t="s">
        <v>224</v>
      </c>
      <c r="D1025" s="60">
        <v>2</v>
      </c>
    </row>
    <row r="1026" spans="1:4" x14ac:dyDescent="0.3">
      <c r="A1026" s="57">
        <v>885</v>
      </c>
      <c r="B1026" s="58">
        <v>14136</v>
      </c>
      <c r="C1026" s="59" t="s">
        <v>224</v>
      </c>
      <c r="D1026" s="60">
        <v>1</v>
      </c>
    </row>
    <row r="1027" spans="1:4" x14ac:dyDescent="0.3">
      <c r="A1027" s="57">
        <v>886</v>
      </c>
      <c r="B1027" s="58">
        <v>14137</v>
      </c>
      <c r="C1027" s="59" t="s">
        <v>225</v>
      </c>
      <c r="D1027" s="60" t="s">
        <v>37</v>
      </c>
    </row>
    <row r="1028" spans="1:4" x14ac:dyDescent="0.3">
      <c r="A1028" s="57">
        <v>887</v>
      </c>
      <c r="B1028" s="58">
        <v>14144</v>
      </c>
      <c r="C1028" s="59" t="s">
        <v>224</v>
      </c>
      <c r="D1028" s="60">
        <v>2</v>
      </c>
    </row>
    <row r="1029" spans="1:4" x14ac:dyDescent="0.3">
      <c r="A1029" s="57">
        <v>887</v>
      </c>
      <c r="B1029" s="58">
        <v>14145</v>
      </c>
      <c r="C1029" s="59" t="s">
        <v>224</v>
      </c>
      <c r="D1029" s="60">
        <v>1</v>
      </c>
    </row>
    <row r="1030" spans="1:4" x14ac:dyDescent="0.3">
      <c r="A1030" s="57">
        <v>888</v>
      </c>
      <c r="B1030" s="58">
        <v>14146</v>
      </c>
      <c r="C1030" s="59" t="s">
        <v>225</v>
      </c>
      <c r="D1030" s="60" t="s">
        <v>37</v>
      </c>
    </row>
    <row r="1031" spans="1:4" x14ac:dyDescent="0.3">
      <c r="A1031" s="57">
        <v>889</v>
      </c>
      <c r="B1031" s="58">
        <v>278</v>
      </c>
      <c r="C1031" s="59" t="s">
        <v>224</v>
      </c>
      <c r="D1031" s="60">
        <v>2</v>
      </c>
    </row>
    <row r="1032" spans="1:4" x14ac:dyDescent="0.3">
      <c r="A1032" s="57">
        <v>889</v>
      </c>
      <c r="B1032" s="58">
        <v>289</v>
      </c>
      <c r="C1032" s="59" t="s">
        <v>224</v>
      </c>
      <c r="D1032" s="60">
        <v>1</v>
      </c>
    </row>
    <row r="1033" spans="1:4" x14ac:dyDescent="0.3">
      <c r="A1033" s="57">
        <v>890</v>
      </c>
      <c r="B1033" s="58">
        <v>14028</v>
      </c>
      <c r="C1033" s="59" t="s">
        <v>225</v>
      </c>
      <c r="D1033" s="60" t="s">
        <v>37</v>
      </c>
    </row>
    <row r="1034" spans="1:4" x14ac:dyDescent="0.3">
      <c r="A1034" s="57">
        <v>891</v>
      </c>
      <c r="B1034" s="58">
        <v>14099</v>
      </c>
      <c r="C1034" s="59" t="s">
        <v>225</v>
      </c>
      <c r="D1034" s="60" t="s">
        <v>37</v>
      </c>
    </row>
    <row r="1035" spans="1:4" x14ac:dyDescent="0.3">
      <c r="A1035" s="57">
        <v>892</v>
      </c>
      <c r="B1035" s="58">
        <v>14119</v>
      </c>
      <c r="C1035" s="59" t="s">
        <v>225</v>
      </c>
      <c r="D1035" s="60" t="s">
        <v>37</v>
      </c>
    </row>
    <row r="1036" spans="1:4" x14ac:dyDescent="0.3">
      <c r="A1036" s="57">
        <v>893</v>
      </c>
      <c r="B1036" s="58">
        <v>14120</v>
      </c>
      <c r="C1036" s="59" t="s">
        <v>225</v>
      </c>
      <c r="D1036" s="60" t="s">
        <v>37</v>
      </c>
    </row>
    <row r="1037" spans="1:4" x14ac:dyDescent="0.3">
      <c r="A1037" s="57">
        <v>894</v>
      </c>
      <c r="B1037" s="58">
        <v>300</v>
      </c>
      <c r="C1037" s="59" t="s">
        <v>182</v>
      </c>
      <c r="D1037" s="60" t="s">
        <v>37</v>
      </c>
    </row>
    <row r="1038" spans="1:4" x14ac:dyDescent="0.3">
      <c r="A1038" s="57">
        <v>895</v>
      </c>
      <c r="B1038" s="58">
        <v>311</v>
      </c>
      <c r="C1038" s="59" t="s">
        <v>182</v>
      </c>
      <c r="D1038" s="60" t="s">
        <v>37</v>
      </c>
    </row>
    <row r="1039" spans="1:4" x14ac:dyDescent="0.3">
      <c r="A1039" s="57">
        <v>896</v>
      </c>
      <c r="B1039" s="58">
        <v>312</v>
      </c>
      <c r="C1039" s="59" t="s">
        <v>182</v>
      </c>
      <c r="D1039" s="60" t="s">
        <v>37</v>
      </c>
    </row>
    <row r="1040" spans="1:4" x14ac:dyDescent="0.3">
      <c r="A1040" s="57">
        <v>897</v>
      </c>
      <c r="B1040" s="58">
        <v>14097</v>
      </c>
      <c r="C1040" s="59" t="s">
        <v>225</v>
      </c>
      <c r="D1040" s="60" t="s">
        <v>37</v>
      </c>
    </row>
    <row r="1041" spans="1:4" x14ac:dyDescent="0.3">
      <c r="A1041" s="57">
        <v>898</v>
      </c>
      <c r="B1041" s="58">
        <v>14098</v>
      </c>
      <c r="C1041" s="59" t="s">
        <v>225</v>
      </c>
      <c r="D1041" s="60" t="s">
        <v>37</v>
      </c>
    </row>
    <row r="1042" spans="1:4" x14ac:dyDescent="0.3">
      <c r="A1042" s="57">
        <v>899</v>
      </c>
      <c r="B1042" s="58">
        <v>281</v>
      </c>
      <c r="C1042" s="59" t="s">
        <v>226</v>
      </c>
      <c r="D1042" s="60" t="s">
        <v>37</v>
      </c>
    </row>
    <row r="1043" spans="1:4" x14ac:dyDescent="0.3">
      <c r="A1043" s="57">
        <v>900</v>
      </c>
      <c r="B1043" s="58">
        <v>282</v>
      </c>
      <c r="C1043" s="59" t="s">
        <v>226</v>
      </c>
      <c r="D1043" s="60" t="s">
        <v>37</v>
      </c>
    </row>
    <row r="1044" spans="1:4" x14ac:dyDescent="0.3">
      <c r="A1044" s="57">
        <v>901</v>
      </c>
      <c r="B1044" s="58">
        <v>283</v>
      </c>
      <c r="C1044" s="59" t="s">
        <v>226</v>
      </c>
      <c r="D1044" s="60" t="s">
        <v>37</v>
      </c>
    </row>
    <row r="1045" spans="1:4" x14ac:dyDescent="0.3">
      <c r="A1045" s="57">
        <v>902</v>
      </c>
      <c r="B1045" s="58">
        <v>284</v>
      </c>
      <c r="C1045" s="59" t="s">
        <v>226</v>
      </c>
      <c r="D1045" s="60" t="s">
        <v>37</v>
      </c>
    </row>
    <row r="1046" spans="1:4" x14ac:dyDescent="0.3">
      <c r="A1046" s="57">
        <v>903</v>
      </c>
      <c r="B1046" s="58">
        <v>285</v>
      </c>
      <c r="C1046" s="59" t="s">
        <v>226</v>
      </c>
      <c r="D1046" s="60" t="s">
        <v>37</v>
      </c>
    </row>
    <row r="1047" spans="1:4" x14ac:dyDescent="0.3">
      <c r="A1047" s="57">
        <v>904</v>
      </c>
      <c r="B1047" s="58">
        <v>286</v>
      </c>
      <c r="C1047" s="59" t="s">
        <v>227</v>
      </c>
      <c r="D1047" s="60" t="s">
        <v>37</v>
      </c>
    </row>
    <row r="1048" spans="1:4" x14ac:dyDescent="0.3">
      <c r="A1048" s="57">
        <v>905</v>
      </c>
      <c r="B1048" s="58">
        <v>287</v>
      </c>
      <c r="C1048" s="59" t="s">
        <v>227</v>
      </c>
      <c r="D1048" s="60" t="s">
        <v>37</v>
      </c>
    </row>
    <row r="1049" spans="1:4" x14ac:dyDescent="0.3">
      <c r="A1049" s="57">
        <v>906</v>
      </c>
      <c r="B1049" s="58">
        <v>288</v>
      </c>
      <c r="C1049" s="59" t="s">
        <v>227</v>
      </c>
      <c r="D1049" s="60" t="s">
        <v>37</v>
      </c>
    </row>
    <row r="1050" spans="1:4" x14ac:dyDescent="0.3">
      <c r="A1050" s="57">
        <v>907</v>
      </c>
      <c r="B1050" s="58">
        <v>292</v>
      </c>
      <c r="C1050" s="59" t="s">
        <v>228</v>
      </c>
      <c r="D1050" s="60" t="s">
        <v>37</v>
      </c>
    </row>
    <row r="1051" spans="1:4" x14ac:dyDescent="0.3">
      <c r="A1051" s="57">
        <v>908</v>
      </c>
      <c r="B1051" s="58">
        <v>293</v>
      </c>
      <c r="C1051" s="59" t="s">
        <v>228</v>
      </c>
      <c r="D1051" s="60" t="s">
        <v>37</v>
      </c>
    </row>
    <row r="1052" spans="1:4" x14ac:dyDescent="0.3">
      <c r="A1052" s="57">
        <v>909</v>
      </c>
      <c r="B1052" s="58">
        <v>294</v>
      </c>
      <c r="C1052" s="59" t="s">
        <v>228</v>
      </c>
      <c r="D1052" s="60" t="s">
        <v>37</v>
      </c>
    </row>
    <row r="1053" spans="1:4" x14ac:dyDescent="0.3">
      <c r="A1053" s="57">
        <v>910</v>
      </c>
      <c r="B1053" s="58">
        <v>295</v>
      </c>
      <c r="C1053" s="59" t="s">
        <v>228</v>
      </c>
      <c r="D1053" s="60" t="s">
        <v>37</v>
      </c>
    </row>
    <row r="1054" spans="1:4" x14ac:dyDescent="0.3">
      <c r="A1054" s="57">
        <v>911</v>
      </c>
      <c r="B1054" s="58">
        <v>296</v>
      </c>
      <c r="C1054" s="59" t="s">
        <v>228</v>
      </c>
      <c r="D1054" s="60" t="s">
        <v>37</v>
      </c>
    </row>
    <row r="1055" spans="1:4" x14ac:dyDescent="0.3">
      <c r="A1055" s="57">
        <v>912</v>
      </c>
      <c r="B1055" s="58">
        <v>297</v>
      </c>
      <c r="C1055" s="59" t="s">
        <v>228</v>
      </c>
      <c r="D1055" s="60" t="s">
        <v>37</v>
      </c>
    </row>
    <row r="1056" spans="1:4" x14ac:dyDescent="0.3">
      <c r="A1056" s="57">
        <v>913</v>
      </c>
      <c r="B1056" s="58">
        <v>298</v>
      </c>
      <c r="C1056" s="59" t="s">
        <v>228</v>
      </c>
      <c r="D1056" s="60" t="s">
        <v>37</v>
      </c>
    </row>
    <row r="1057" spans="1:4" x14ac:dyDescent="0.3">
      <c r="A1057" s="57">
        <v>914</v>
      </c>
      <c r="B1057" s="58">
        <v>299</v>
      </c>
      <c r="C1057" s="59" t="s">
        <v>229</v>
      </c>
      <c r="D1057" s="60">
        <v>1</v>
      </c>
    </row>
    <row r="1058" spans="1:4" x14ac:dyDescent="0.3">
      <c r="A1058" s="57">
        <v>915</v>
      </c>
      <c r="B1058" s="58">
        <v>313</v>
      </c>
      <c r="C1058" s="59" t="s">
        <v>182</v>
      </c>
      <c r="D1058" s="60">
        <v>2</v>
      </c>
    </row>
    <row r="1059" spans="1:4" x14ac:dyDescent="0.3">
      <c r="A1059" s="57">
        <v>915</v>
      </c>
      <c r="B1059" s="58">
        <v>314</v>
      </c>
      <c r="C1059" s="59" t="s">
        <v>182</v>
      </c>
      <c r="D1059" s="60">
        <v>1</v>
      </c>
    </row>
    <row r="1060" spans="1:4" x14ac:dyDescent="0.3">
      <c r="A1060" s="57">
        <v>916</v>
      </c>
      <c r="B1060" s="58">
        <v>315</v>
      </c>
      <c r="C1060" s="59" t="s">
        <v>182</v>
      </c>
      <c r="D1060" s="60">
        <v>2</v>
      </c>
    </row>
    <row r="1061" spans="1:4" x14ac:dyDescent="0.3">
      <c r="A1061" s="57">
        <v>916</v>
      </c>
      <c r="B1061" s="58">
        <v>316</v>
      </c>
      <c r="C1061" s="59" t="s">
        <v>182</v>
      </c>
      <c r="D1061" s="60">
        <v>1</v>
      </c>
    </row>
    <row r="1062" spans="1:4" x14ac:dyDescent="0.3">
      <c r="A1062" s="57">
        <v>917</v>
      </c>
      <c r="B1062" s="58">
        <v>279</v>
      </c>
      <c r="C1062" s="59" t="s">
        <v>182</v>
      </c>
      <c r="D1062" s="60">
        <v>2</v>
      </c>
    </row>
    <row r="1063" spans="1:4" x14ac:dyDescent="0.3">
      <c r="A1063" s="57">
        <v>917</v>
      </c>
      <c r="B1063" s="58">
        <v>280</v>
      </c>
      <c r="C1063" s="59" t="s">
        <v>182</v>
      </c>
      <c r="D1063" s="60">
        <v>1</v>
      </c>
    </row>
    <row r="1064" spans="1:4" x14ac:dyDescent="0.3">
      <c r="A1064" s="57">
        <v>918</v>
      </c>
      <c r="B1064" s="58">
        <v>290</v>
      </c>
      <c r="C1064" s="59" t="s">
        <v>117</v>
      </c>
      <c r="D1064" s="60">
        <v>1</v>
      </c>
    </row>
    <row r="1065" spans="1:4" x14ac:dyDescent="0.3">
      <c r="A1065" s="57">
        <v>918</v>
      </c>
      <c r="B1065" s="58">
        <v>291</v>
      </c>
      <c r="C1065" s="59" t="s">
        <v>117</v>
      </c>
      <c r="D1065" s="60">
        <v>1</v>
      </c>
    </row>
    <row r="1066" spans="1:4" x14ac:dyDescent="0.3">
      <c r="A1066" s="57">
        <v>919</v>
      </c>
      <c r="B1066" s="58">
        <v>57</v>
      </c>
      <c r="C1066" s="59" t="s">
        <v>230</v>
      </c>
      <c r="D1066" s="60">
        <v>1</v>
      </c>
    </row>
    <row r="1067" spans="1:4" x14ac:dyDescent="0.3">
      <c r="A1067" s="57">
        <v>919</v>
      </c>
      <c r="B1067" s="58">
        <v>278</v>
      </c>
      <c r="C1067" s="59" t="s">
        <v>230</v>
      </c>
      <c r="D1067" s="60">
        <v>2</v>
      </c>
    </row>
    <row r="1068" spans="1:4" x14ac:dyDescent="0.3">
      <c r="A1068" s="57">
        <v>920</v>
      </c>
      <c r="B1068" s="58">
        <v>57</v>
      </c>
      <c r="C1068" s="59" t="s">
        <v>230</v>
      </c>
      <c r="D1068" s="60">
        <v>1</v>
      </c>
    </row>
    <row r="1069" spans="1:4" x14ac:dyDescent="0.3">
      <c r="A1069" s="57">
        <v>920</v>
      </c>
      <c r="B1069" s="58">
        <v>278</v>
      </c>
      <c r="C1069" s="59" t="s">
        <v>230</v>
      </c>
      <c r="D1069" s="60">
        <v>2</v>
      </c>
    </row>
    <row r="1070" spans="1:4" x14ac:dyDescent="0.3">
      <c r="A1070" s="57">
        <v>922</v>
      </c>
      <c r="B1070" s="58">
        <v>301</v>
      </c>
      <c r="C1070" s="59" t="s">
        <v>140</v>
      </c>
      <c r="D1070" s="60">
        <v>1</v>
      </c>
    </row>
    <row r="1071" spans="1:4" x14ac:dyDescent="0.3">
      <c r="A1071" s="57">
        <v>923</v>
      </c>
      <c r="B1071" s="58">
        <v>302</v>
      </c>
      <c r="C1071" s="59" t="s">
        <v>140</v>
      </c>
      <c r="D1071" s="60">
        <v>1</v>
      </c>
    </row>
    <row r="1072" spans="1:4" x14ac:dyDescent="0.3">
      <c r="A1072" s="57">
        <v>924</v>
      </c>
      <c r="B1072" s="58">
        <v>303</v>
      </c>
      <c r="C1072" s="59" t="s">
        <v>140</v>
      </c>
      <c r="D1072" s="60">
        <v>1</v>
      </c>
    </row>
    <row r="1073" spans="1:4" x14ac:dyDescent="0.3">
      <c r="A1073" s="57">
        <v>925</v>
      </c>
      <c r="B1073" s="58">
        <v>259</v>
      </c>
      <c r="C1073" s="59" t="s">
        <v>231</v>
      </c>
      <c r="D1073" s="60" t="s">
        <v>170</v>
      </c>
    </row>
    <row r="1074" spans="1:4" x14ac:dyDescent="0.3">
      <c r="A1074" s="57">
        <v>925</v>
      </c>
      <c r="B1074" s="58">
        <v>307</v>
      </c>
      <c r="C1074" s="59" t="s">
        <v>231</v>
      </c>
      <c r="D1074" s="60" t="s">
        <v>170</v>
      </c>
    </row>
    <row r="1075" spans="1:4" x14ac:dyDescent="0.3">
      <c r="A1075" s="57">
        <v>926</v>
      </c>
      <c r="B1075" s="58">
        <v>261</v>
      </c>
      <c r="C1075" s="59" t="s">
        <v>171</v>
      </c>
      <c r="D1075" s="60" t="s">
        <v>170</v>
      </c>
    </row>
    <row r="1076" spans="1:4" x14ac:dyDescent="0.3">
      <c r="A1076" s="57">
        <v>926</v>
      </c>
      <c r="B1076" s="58">
        <v>308</v>
      </c>
      <c r="C1076" s="59" t="s">
        <v>171</v>
      </c>
      <c r="D1076" s="60" t="s">
        <v>170</v>
      </c>
    </row>
    <row r="1077" spans="1:4" x14ac:dyDescent="0.3">
      <c r="A1077" s="57">
        <v>927</v>
      </c>
      <c r="B1077" s="58">
        <v>263</v>
      </c>
      <c r="C1077" s="59" t="s">
        <v>173</v>
      </c>
      <c r="D1077" s="60" t="s">
        <v>170</v>
      </c>
    </row>
    <row r="1078" spans="1:4" x14ac:dyDescent="0.3">
      <c r="A1078" s="57">
        <v>927</v>
      </c>
      <c r="B1078" s="58">
        <v>309</v>
      </c>
      <c r="C1078" s="59" t="s">
        <v>173</v>
      </c>
      <c r="D1078" s="60" t="s">
        <v>170</v>
      </c>
    </row>
    <row r="1079" spans="1:4" x14ac:dyDescent="0.3">
      <c r="A1079" s="57">
        <v>928</v>
      </c>
      <c r="B1079" s="58">
        <v>265</v>
      </c>
      <c r="C1079" s="59" t="s">
        <v>172</v>
      </c>
      <c r="D1079" s="60" t="s">
        <v>170</v>
      </c>
    </row>
    <row r="1080" spans="1:4" x14ac:dyDescent="0.3">
      <c r="A1080" s="57">
        <v>928</v>
      </c>
      <c r="B1080" s="58">
        <v>310</v>
      </c>
      <c r="C1080" s="59" t="s">
        <v>172</v>
      </c>
      <c r="D1080" s="60" t="s">
        <v>170</v>
      </c>
    </row>
    <row r="1081" spans="1:4" x14ac:dyDescent="0.3">
      <c r="A1081" s="57">
        <v>929</v>
      </c>
      <c r="B1081" s="58">
        <v>14041</v>
      </c>
      <c r="C1081" s="59" t="s">
        <v>226</v>
      </c>
      <c r="D1081" s="60" t="s">
        <v>37</v>
      </c>
    </row>
    <row r="1082" spans="1:4" x14ac:dyDescent="0.3">
      <c r="A1082" s="57">
        <v>930</v>
      </c>
      <c r="B1082" s="58">
        <v>14053</v>
      </c>
      <c r="C1082" s="59" t="s">
        <v>226</v>
      </c>
      <c r="D1082" s="60" t="s">
        <v>37</v>
      </c>
    </row>
    <row r="1083" spans="1:4" x14ac:dyDescent="0.3">
      <c r="A1083" s="57">
        <v>931</v>
      </c>
      <c r="B1083" s="58">
        <v>14056</v>
      </c>
      <c r="C1083" s="59" t="s">
        <v>226</v>
      </c>
      <c r="D1083" s="60" t="s">
        <v>37</v>
      </c>
    </row>
    <row r="1084" spans="1:4" x14ac:dyDescent="0.3">
      <c r="A1084" s="57">
        <v>932</v>
      </c>
      <c r="B1084" s="58">
        <v>191</v>
      </c>
      <c r="C1084" s="59" t="s">
        <v>232</v>
      </c>
      <c r="D1084" s="60">
        <v>2</v>
      </c>
    </row>
    <row r="1085" spans="1:4" x14ac:dyDescent="0.3">
      <c r="A1085" s="57">
        <v>932</v>
      </c>
      <c r="B1085" s="58">
        <v>353</v>
      </c>
      <c r="C1085" s="59" t="s">
        <v>232</v>
      </c>
      <c r="D1085" s="60">
        <v>1</v>
      </c>
    </row>
    <row r="1086" spans="1:4" x14ac:dyDescent="0.3">
      <c r="A1086" s="57">
        <v>932</v>
      </c>
      <c r="B1086" s="58">
        <v>354</v>
      </c>
      <c r="C1086" s="59" t="s">
        <v>232</v>
      </c>
      <c r="D1086" s="60">
        <v>1</v>
      </c>
    </row>
    <row r="1087" spans="1:4" x14ac:dyDescent="0.3">
      <c r="A1087" s="57">
        <v>932</v>
      </c>
      <c r="B1087" s="58">
        <v>355</v>
      </c>
      <c r="C1087" s="59" t="s">
        <v>232</v>
      </c>
      <c r="D1087" s="60">
        <v>1</v>
      </c>
    </row>
    <row r="1088" spans="1:4" x14ac:dyDescent="0.3">
      <c r="A1088" s="57">
        <v>933</v>
      </c>
      <c r="B1088" s="58">
        <v>14147</v>
      </c>
      <c r="C1088" s="59" t="s">
        <v>224</v>
      </c>
      <c r="D1088" s="60">
        <v>2</v>
      </c>
    </row>
    <row r="1089" spans="1:4" x14ac:dyDescent="0.3">
      <c r="A1089" s="57">
        <v>933</v>
      </c>
      <c r="B1089" s="58">
        <v>14148</v>
      </c>
      <c r="C1089" s="59" t="s">
        <v>224</v>
      </c>
      <c r="D1089" s="60">
        <v>1</v>
      </c>
    </row>
    <row r="1090" spans="1:4" x14ac:dyDescent="0.3">
      <c r="A1090" s="57">
        <v>934</v>
      </c>
      <c r="B1090" s="58">
        <v>14149</v>
      </c>
      <c r="C1090" s="59" t="s">
        <v>225</v>
      </c>
      <c r="D1090" s="60" t="s">
        <v>37</v>
      </c>
    </row>
    <row r="1091" spans="1:4" x14ac:dyDescent="0.3">
      <c r="A1091" s="57">
        <v>935</v>
      </c>
      <c r="B1091" s="58">
        <v>374</v>
      </c>
      <c r="C1091" s="59" t="s">
        <v>233</v>
      </c>
      <c r="D1091" s="60" t="s">
        <v>284</v>
      </c>
    </row>
    <row r="1092" spans="1:4" x14ac:dyDescent="0.3">
      <c r="A1092" s="57">
        <v>935</v>
      </c>
      <c r="B1092" s="58">
        <v>375</v>
      </c>
      <c r="C1092" s="59" t="s">
        <v>233</v>
      </c>
      <c r="D1092" s="60" t="s">
        <v>282</v>
      </c>
    </row>
    <row r="1093" spans="1:4" x14ac:dyDescent="0.3">
      <c r="A1093" s="57">
        <v>936</v>
      </c>
      <c r="B1093" s="58">
        <v>1422</v>
      </c>
      <c r="C1093" s="59" t="s">
        <v>233</v>
      </c>
      <c r="D1093" s="60">
        <v>1</v>
      </c>
    </row>
    <row r="1094" spans="1:4" x14ac:dyDescent="0.3">
      <c r="A1094" s="57">
        <v>936</v>
      </c>
      <c r="B1094" s="58">
        <v>1423</v>
      </c>
      <c r="C1094" s="59" t="s">
        <v>233</v>
      </c>
      <c r="D1094" s="60">
        <v>2</v>
      </c>
    </row>
    <row r="1095" spans="1:4" x14ac:dyDescent="0.3">
      <c r="A1095" s="57">
        <v>937</v>
      </c>
      <c r="B1095" s="58">
        <v>14150</v>
      </c>
      <c r="C1095" s="59" t="s">
        <v>233</v>
      </c>
      <c r="D1095" s="60">
        <v>2</v>
      </c>
    </row>
    <row r="1096" spans="1:4" x14ac:dyDescent="0.3">
      <c r="A1096" s="57">
        <v>937</v>
      </c>
      <c r="B1096" s="58">
        <v>14151</v>
      </c>
      <c r="C1096" s="59" t="s">
        <v>233</v>
      </c>
      <c r="D1096" s="60">
        <v>1</v>
      </c>
    </row>
    <row r="1097" spans="1:4" x14ac:dyDescent="0.3">
      <c r="A1097" s="57">
        <v>938</v>
      </c>
      <c r="B1097" s="58">
        <v>376</v>
      </c>
      <c r="C1097" s="59" t="s">
        <v>233</v>
      </c>
      <c r="D1097" s="60">
        <v>2</v>
      </c>
    </row>
    <row r="1098" spans="1:4" x14ac:dyDescent="0.3">
      <c r="A1098" s="57">
        <v>938</v>
      </c>
      <c r="B1098" s="58">
        <v>377</v>
      </c>
      <c r="C1098" s="59" t="s">
        <v>233</v>
      </c>
      <c r="D1098" s="60">
        <v>1</v>
      </c>
    </row>
    <row r="1099" spans="1:4" x14ac:dyDescent="0.3">
      <c r="A1099" s="57">
        <v>939</v>
      </c>
      <c r="B1099" s="58">
        <v>395</v>
      </c>
      <c r="C1099" s="59" t="s">
        <v>233</v>
      </c>
      <c r="D1099" s="60">
        <v>2</v>
      </c>
    </row>
    <row r="1100" spans="1:4" x14ac:dyDescent="0.3">
      <c r="A1100" s="57">
        <v>939</v>
      </c>
      <c r="B1100" s="58">
        <v>396</v>
      </c>
      <c r="C1100" s="59" t="s">
        <v>233</v>
      </c>
      <c r="D1100" s="60">
        <v>1</v>
      </c>
    </row>
    <row r="1101" spans="1:4" x14ac:dyDescent="0.3">
      <c r="A1101" s="57">
        <v>940</v>
      </c>
      <c r="B1101" s="58">
        <v>397</v>
      </c>
      <c r="C1101" s="59" t="s">
        <v>234</v>
      </c>
      <c r="D1101" s="60" t="s">
        <v>192</v>
      </c>
    </row>
    <row r="1102" spans="1:4" x14ac:dyDescent="0.3">
      <c r="A1102" s="57">
        <v>941</v>
      </c>
      <c r="B1102" s="58">
        <v>398</v>
      </c>
      <c r="C1102" s="59" t="s">
        <v>235</v>
      </c>
      <c r="D1102" s="60" t="s">
        <v>192</v>
      </c>
    </row>
    <row r="1103" spans="1:4" x14ac:dyDescent="0.3">
      <c r="A1103" s="57">
        <v>942</v>
      </c>
      <c r="B1103" s="58">
        <v>400</v>
      </c>
      <c r="C1103" s="59" t="s">
        <v>85</v>
      </c>
      <c r="D1103" s="60">
        <v>1</v>
      </c>
    </row>
    <row r="1104" spans="1:4" x14ac:dyDescent="0.3">
      <c r="A1104" s="57">
        <v>942</v>
      </c>
      <c r="B1104" s="58">
        <v>401</v>
      </c>
      <c r="C1104" s="59" t="s">
        <v>85</v>
      </c>
      <c r="D1104" s="60">
        <v>2</v>
      </c>
    </row>
    <row r="1105" spans="1:4" x14ac:dyDescent="0.3">
      <c r="A1105" s="57">
        <v>943</v>
      </c>
      <c r="B1105" s="58">
        <v>404</v>
      </c>
      <c r="C1105" s="59" t="s">
        <v>75</v>
      </c>
      <c r="D1105" s="60">
        <v>1</v>
      </c>
    </row>
    <row r="1106" spans="1:4" x14ac:dyDescent="0.3">
      <c r="A1106" s="57">
        <v>943</v>
      </c>
      <c r="B1106" s="58">
        <v>405</v>
      </c>
      <c r="C1106" s="59" t="s">
        <v>75</v>
      </c>
      <c r="D1106" s="60">
        <v>2</v>
      </c>
    </row>
    <row r="1107" spans="1:4" x14ac:dyDescent="0.3">
      <c r="A1107" s="57">
        <v>944</v>
      </c>
      <c r="B1107" s="58">
        <v>406</v>
      </c>
      <c r="C1107" s="59" t="s">
        <v>75</v>
      </c>
      <c r="D1107" s="60">
        <v>1</v>
      </c>
    </row>
    <row r="1108" spans="1:4" x14ac:dyDescent="0.3">
      <c r="A1108" s="57">
        <v>944</v>
      </c>
      <c r="B1108" s="58">
        <v>407</v>
      </c>
      <c r="C1108" s="59" t="s">
        <v>75</v>
      </c>
      <c r="D1108" s="60">
        <v>2</v>
      </c>
    </row>
    <row r="1109" spans="1:4" x14ac:dyDescent="0.3">
      <c r="A1109" s="57">
        <v>945</v>
      </c>
      <c r="B1109" s="58">
        <v>408</v>
      </c>
      <c r="C1109" s="59" t="s">
        <v>75</v>
      </c>
      <c r="D1109" s="60">
        <v>1</v>
      </c>
    </row>
    <row r="1110" spans="1:4" x14ac:dyDescent="0.3">
      <c r="A1110" s="57">
        <v>945</v>
      </c>
      <c r="B1110" s="58">
        <v>409</v>
      </c>
      <c r="C1110" s="59" t="s">
        <v>75</v>
      </c>
      <c r="D1110" s="60">
        <v>2</v>
      </c>
    </row>
    <row r="1111" spans="1:4" x14ac:dyDescent="0.3">
      <c r="A1111" s="57">
        <v>946</v>
      </c>
      <c r="B1111" s="58">
        <v>410</v>
      </c>
      <c r="C1111" s="59" t="s">
        <v>75</v>
      </c>
      <c r="D1111" s="60">
        <v>1</v>
      </c>
    </row>
    <row r="1112" spans="1:4" x14ac:dyDescent="0.3">
      <c r="A1112" s="57">
        <v>946</v>
      </c>
      <c r="B1112" s="58">
        <v>411</v>
      </c>
      <c r="C1112" s="59" t="s">
        <v>75</v>
      </c>
      <c r="D1112" s="60">
        <v>2</v>
      </c>
    </row>
    <row r="1113" spans="1:4" x14ac:dyDescent="0.3">
      <c r="A1113" s="57">
        <v>947</v>
      </c>
      <c r="B1113" s="58">
        <v>412</v>
      </c>
      <c r="C1113" s="59" t="s">
        <v>236</v>
      </c>
      <c r="D1113" s="60">
        <v>2</v>
      </c>
    </row>
    <row r="1114" spans="1:4" x14ac:dyDescent="0.3">
      <c r="A1114" s="57">
        <v>947</v>
      </c>
      <c r="B1114" s="58">
        <v>413</v>
      </c>
      <c r="C1114" s="59" t="s">
        <v>236</v>
      </c>
      <c r="D1114" s="60">
        <v>1</v>
      </c>
    </row>
    <row r="1115" spans="1:4" x14ac:dyDescent="0.3">
      <c r="A1115" s="57">
        <v>947</v>
      </c>
      <c r="B1115" s="58">
        <v>414</v>
      </c>
      <c r="C1115" s="59" t="s">
        <v>236</v>
      </c>
      <c r="D1115" s="60">
        <v>1</v>
      </c>
    </row>
    <row r="1116" spans="1:4" x14ac:dyDescent="0.3">
      <c r="A1116" s="57">
        <v>948</v>
      </c>
      <c r="B1116" s="58">
        <v>415</v>
      </c>
      <c r="C1116" s="59" t="s">
        <v>237</v>
      </c>
      <c r="D1116" s="60" t="s">
        <v>284</v>
      </c>
    </row>
    <row r="1117" spans="1:4" x14ac:dyDescent="0.3">
      <c r="A1117" s="57">
        <v>948</v>
      </c>
      <c r="B1117" s="58">
        <v>416</v>
      </c>
      <c r="C1117" s="59" t="s">
        <v>237</v>
      </c>
      <c r="D1117" s="60">
        <v>1</v>
      </c>
    </row>
    <row r="1118" spans="1:4" x14ac:dyDescent="0.3">
      <c r="A1118" s="57">
        <v>949</v>
      </c>
      <c r="B1118" s="58">
        <v>417</v>
      </c>
      <c r="C1118" s="59" t="s">
        <v>309</v>
      </c>
      <c r="D1118" s="60">
        <v>1</v>
      </c>
    </row>
    <row r="1119" spans="1:4" x14ac:dyDescent="0.3">
      <c r="A1119" s="57">
        <v>949</v>
      </c>
      <c r="B1119" s="58">
        <v>418</v>
      </c>
      <c r="C1119" s="59" t="s">
        <v>309</v>
      </c>
      <c r="D1119" s="60">
        <v>2</v>
      </c>
    </row>
    <row r="1120" spans="1:4" x14ac:dyDescent="0.3">
      <c r="A1120" s="57">
        <v>950</v>
      </c>
      <c r="B1120" s="58">
        <v>419</v>
      </c>
      <c r="C1120" s="59" t="s">
        <v>310</v>
      </c>
      <c r="D1120" s="60" t="s">
        <v>37</v>
      </c>
    </row>
    <row r="1121" spans="1:4" x14ac:dyDescent="0.3">
      <c r="A1121" s="57">
        <v>951</v>
      </c>
      <c r="B1121" s="58">
        <v>420</v>
      </c>
      <c r="C1121" s="59" t="s">
        <v>311</v>
      </c>
      <c r="D1121" s="60" t="s">
        <v>37</v>
      </c>
    </row>
    <row r="1122" spans="1:4" x14ac:dyDescent="0.3">
      <c r="A1122" s="57">
        <v>952</v>
      </c>
      <c r="B1122" s="58">
        <v>421</v>
      </c>
      <c r="C1122" s="59" t="s">
        <v>312</v>
      </c>
      <c r="D1122" s="60">
        <v>1</v>
      </c>
    </row>
    <row r="1123" spans="1:4" x14ac:dyDescent="0.3">
      <c r="A1123" s="57">
        <v>952</v>
      </c>
      <c r="B1123" s="58">
        <v>422</v>
      </c>
      <c r="C1123" s="59" t="s">
        <v>312</v>
      </c>
      <c r="D1123" s="60">
        <v>2</v>
      </c>
    </row>
    <row r="1124" spans="1:4" x14ac:dyDescent="0.3">
      <c r="A1124" s="57">
        <v>953</v>
      </c>
      <c r="B1124" s="58">
        <v>423</v>
      </c>
      <c r="C1124" s="59" t="s">
        <v>238</v>
      </c>
      <c r="D1124" s="60">
        <v>1</v>
      </c>
    </row>
    <row r="1125" spans="1:4" x14ac:dyDescent="0.3">
      <c r="A1125" s="57">
        <v>953</v>
      </c>
      <c r="B1125" s="58">
        <v>424</v>
      </c>
      <c r="C1125" s="59" t="s">
        <v>238</v>
      </c>
      <c r="D1125" s="60" t="s">
        <v>282</v>
      </c>
    </row>
    <row r="1126" spans="1:4" x14ac:dyDescent="0.3">
      <c r="A1126" s="57">
        <v>954</v>
      </c>
      <c r="B1126" s="58">
        <v>425</v>
      </c>
      <c r="C1126" s="59" t="s">
        <v>239</v>
      </c>
      <c r="D1126" s="60" t="s">
        <v>284</v>
      </c>
    </row>
    <row r="1127" spans="1:4" x14ac:dyDescent="0.3">
      <c r="A1127" s="57">
        <v>954</v>
      </c>
      <c r="B1127" s="58">
        <v>426</v>
      </c>
      <c r="C1127" s="59" t="s">
        <v>239</v>
      </c>
      <c r="D1127" s="60" t="s">
        <v>282</v>
      </c>
    </row>
    <row r="1128" spans="1:4" x14ac:dyDescent="0.3">
      <c r="A1128" s="57">
        <v>954</v>
      </c>
      <c r="B1128" s="58">
        <v>427</v>
      </c>
      <c r="C1128" s="59" t="s">
        <v>239</v>
      </c>
      <c r="D1128" s="60" t="s">
        <v>282</v>
      </c>
    </row>
    <row r="1129" spans="1:4" x14ac:dyDescent="0.3">
      <c r="A1129" s="57">
        <v>955</v>
      </c>
      <c r="B1129" s="58">
        <v>206</v>
      </c>
      <c r="C1129" s="59" t="s">
        <v>240</v>
      </c>
      <c r="D1129" s="60">
        <v>2</v>
      </c>
    </row>
    <row r="1130" spans="1:4" x14ac:dyDescent="0.3">
      <c r="A1130" s="57">
        <v>955</v>
      </c>
      <c r="B1130" s="58">
        <v>428</v>
      </c>
      <c r="C1130" s="59" t="s">
        <v>240</v>
      </c>
      <c r="D1130" s="60">
        <v>1</v>
      </c>
    </row>
    <row r="1131" spans="1:4" x14ac:dyDescent="0.3">
      <c r="A1131" s="57">
        <v>955</v>
      </c>
      <c r="B1131" s="58">
        <v>429</v>
      </c>
      <c r="C1131" s="59" t="s">
        <v>240</v>
      </c>
      <c r="D1131" s="60">
        <v>2</v>
      </c>
    </row>
    <row r="1132" spans="1:4" x14ac:dyDescent="0.3">
      <c r="A1132" s="57">
        <v>955</v>
      </c>
      <c r="B1132" s="58">
        <v>430</v>
      </c>
      <c r="C1132" s="59" t="s">
        <v>240</v>
      </c>
      <c r="D1132" s="60">
        <v>1</v>
      </c>
    </row>
    <row r="1133" spans="1:4" x14ac:dyDescent="0.3">
      <c r="A1133" s="57">
        <v>956</v>
      </c>
      <c r="B1133" s="58">
        <v>160</v>
      </c>
      <c r="C1133" s="59" t="s">
        <v>241</v>
      </c>
      <c r="D1133" s="60">
        <v>2</v>
      </c>
    </row>
    <row r="1134" spans="1:4" x14ac:dyDescent="0.3">
      <c r="A1134" s="57">
        <v>956</v>
      </c>
      <c r="B1134" s="58">
        <v>427</v>
      </c>
      <c r="C1134" s="59" t="s">
        <v>241</v>
      </c>
      <c r="D1134" s="60">
        <v>1</v>
      </c>
    </row>
    <row r="1135" spans="1:4" x14ac:dyDescent="0.3">
      <c r="A1135" s="57">
        <v>956</v>
      </c>
      <c r="B1135" s="58">
        <v>431</v>
      </c>
      <c r="C1135" s="59" t="s">
        <v>241</v>
      </c>
      <c r="D1135" s="60">
        <v>2</v>
      </c>
    </row>
    <row r="1136" spans="1:4" x14ac:dyDescent="0.3">
      <c r="A1136" s="57">
        <v>956</v>
      </c>
      <c r="B1136" s="58">
        <v>432</v>
      </c>
      <c r="C1136" s="59" t="s">
        <v>241</v>
      </c>
      <c r="D1136" s="60">
        <v>1</v>
      </c>
    </row>
    <row r="1137" spans="1:4" x14ac:dyDescent="0.3">
      <c r="A1137" s="57">
        <v>957</v>
      </c>
      <c r="B1137" s="58">
        <v>432</v>
      </c>
      <c r="C1137" s="59" t="s">
        <v>242</v>
      </c>
      <c r="D1137" s="60">
        <v>1</v>
      </c>
    </row>
    <row r="1138" spans="1:4" x14ac:dyDescent="0.3">
      <c r="A1138" s="57">
        <v>957</v>
      </c>
      <c r="B1138" s="58">
        <v>433</v>
      </c>
      <c r="C1138" s="59" t="s">
        <v>242</v>
      </c>
      <c r="D1138" s="60">
        <v>2</v>
      </c>
    </row>
    <row r="1139" spans="1:4" x14ac:dyDescent="0.3">
      <c r="A1139" s="57">
        <v>958</v>
      </c>
      <c r="B1139" s="58">
        <v>434</v>
      </c>
      <c r="C1139" s="59" t="s">
        <v>243</v>
      </c>
      <c r="D1139" s="60">
        <v>2</v>
      </c>
    </row>
    <row r="1140" spans="1:4" x14ac:dyDescent="0.3">
      <c r="A1140" s="57">
        <v>958</v>
      </c>
      <c r="B1140" s="58">
        <v>435</v>
      </c>
      <c r="C1140" s="59" t="s">
        <v>243</v>
      </c>
      <c r="D1140" s="60">
        <v>1</v>
      </c>
    </row>
    <row r="1141" spans="1:4" x14ac:dyDescent="0.3">
      <c r="A1141" s="57">
        <v>959</v>
      </c>
      <c r="B1141" s="58">
        <v>160</v>
      </c>
      <c r="C1141" s="59" t="s">
        <v>244</v>
      </c>
      <c r="D1141" s="60">
        <v>2</v>
      </c>
    </row>
    <row r="1142" spans="1:4" x14ac:dyDescent="0.3">
      <c r="A1142" s="57">
        <v>959</v>
      </c>
      <c r="B1142" s="58">
        <v>432</v>
      </c>
      <c r="C1142" s="59" t="s">
        <v>244</v>
      </c>
      <c r="D1142" s="60">
        <v>1</v>
      </c>
    </row>
    <row r="1143" spans="1:4" x14ac:dyDescent="0.3">
      <c r="A1143" s="57">
        <v>959</v>
      </c>
      <c r="B1143" s="58">
        <v>436</v>
      </c>
      <c r="C1143" s="59" t="s">
        <v>244</v>
      </c>
      <c r="D1143" s="60">
        <v>2</v>
      </c>
    </row>
    <row r="1144" spans="1:4" x14ac:dyDescent="0.3">
      <c r="A1144" s="57">
        <v>960</v>
      </c>
      <c r="B1144" s="58">
        <v>160</v>
      </c>
      <c r="C1144" s="59" t="s">
        <v>245</v>
      </c>
      <c r="D1144" s="60">
        <v>2</v>
      </c>
    </row>
    <row r="1145" spans="1:4" x14ac:dyDescent="0.3">
      <c r="A1145" s="57">
        <v>960</v>
      </c>
      <c r="B1145" s="58">
        <v>435</v>
      </c>
      <c r="C1145" s="59" t="s">
        <v>245</v>
      </c>
      <c r="D1145" s="60">
        <v>1</v>
      </c>
    </row>
    <row r="1146" spans="1:4" x14ac:dyDescent="0.3">
      <c r="A1146" s="57">
        <v>960</v>
      </c>
      <c r="B1146" s="58">
        <v>441</v>
      </c>
      <c r="C1146" s="59" t="s">
        <v>245</v>
      </c>
      <c r="D1146" s="60">
        <v>1</v>
      </c>
    </row>
    <row r="1147" spans="1:4" x14ac:dyDescent="0.3">
      <c r="A1147" s="57">
        <v>961</v>
      </c>
      <c r="B1147" s="58">
        <v>427</v>
      </c>
      <c r="C1147" s="59" t="s">
        <v>246</v>
      </c>
      <c r="D1147" s="60">
        <v>1</v>
      </c>
    </row>
    <row r="1148" spans="1:4" x14ac:dyDescent="0.3">
      <c r="A1148" s="57">
        <v>961</v>
      </c>
      <c r="B1148" s="58">
        <v>432</v>
      </c>
      <c r="C1148" s="59" t="s">
        <v>246</v>
      </c>
      <c r="D1148" s="60">
        <v>1</v>
      </c>
    </row>
    <row r="1149" spans="1:4" x14ac:dyDescent="0.3">
      <c r="A1149" s="57">
        <v>961</v>
      </c>
      <c r="B1149" s="58">
        <v>437</v>
      </c>
      <c r="C1149" s="59" t="s">
        <v>246</v>
      </c>
      <c r="D1149" s="60">
        <v>2</v>
      </c>
    </row>
    <row r="1150" spans="1:4" x14ac:dyDescent="0.3">
      <c r="A1150" s="57">
        <v>962</v>
      </c>
      <c r="B1150" s="58">
        <v>427</v>
      </c>
      <c r="C1150" s="59" t="s">
        <v>247</v>
      </c>
      <c r="D1150" s="60">
        <v>1</v>
      </c>
    </row>
    <row r="1151" spans="1:4" x14ac:dyDescent="0.3">
      <c r="A1151" s="57">
        <v>962</v>
      </c>
      <c r="B1151" s="58">
        <v>435</v>
      </c>
      <c r="C1151" s="59" t="s">
        <v>247</v>
      </c>
      <c r="D1151" s="60">
        <v>1</v>
      </c>
    </row>
    <row r="1152" spans="1:4" x14ac:dyDescent="0.3">
      <c r="A1152" s="57">
        <v>962</v>
      </c>
      <c r="B1152" s="58">
        <v>438</v>
      </c>
      <c r="C1152" s="59" t="s">
        <v>247</v>
      </c>
      <c r="D1152" s="60">
        <v>2</v>
      </c>
    </row>
    <row r="1153" spans="1:4" x14ac:dyDescent="0.3">
      <c r="A1153" s="57">
        <v>963</v>
      </c>
      <c r="B1153" s="58">
        <v>160</v>
      </c>
      <c r="C1153" s="59" t="s">
        <v>248</v>
      </c>
      <c r="D1153" s="60">
        <v>2</v>
      </c>
    </row>
    <row r="1154" spans="1:4" x14ac:dyDescent="0.3">
      <c r="A1154" s="57">
        <v>963</v>
      </c>
      <c r="B1154" s="58">
        <v>427</v>
      </c>
      <c r="C1154" s="59" t="s">
        <v>248</v>
      </c>
      <c r="D1154" s="60">
        <v>1</v>
      </c>
    </row>
    <row r="1155" spans="1:4" x14ac:dyDescent="0.3">
      <c r="A1155" s="57">
        <v>963</v>
      </c>
      <c r="B1155" s="58">
        <v>435</v>
      </c>
      <c r="C1155" s="59" t="s">
        <v>248</v>
      </c>
      <c r="D1155" s="60">
        <v>1</v>
      </c>
    </row>
    <row r="1156" spans="1:4" x14ac:dyDescent="0.3">
      <c r="A1156" s="57">
        <v>963</v>
      </c>
      <c r="B1156" s="58">
        <v>439</v>
      </c>
      <c r="C1156" s="59" t="s">
        <v>248</v>
      </c>
      <c r="D1156" s="60">
        <v>2</v>
      </c>
    </row>
    <row r="1157" spans="1:4" x14ac:dyDescent="0.3">
      <c r="A1157" s="57">
        <v>964</v>
      </c>
      <c r="B1157" s="58">
        <v>160</v>
      </c>
      <c r="C1157" s="59" t="s">
        <v>249</v>
      </c>
      <c r="D1157" s="60">
        <v>2</v>
      </c>
    </row>
    <row r="1158" spans="1:4" x14ac:dyDescent="0.3">
      <c r="A1158" s="57">
        <v>964</v>
      </c>
      <c r="B1158" s="58">
        <v>431</v>
      </c>
      <c r="C1158" s="59" t="s">
        <v>249</v>
      </c>
      <c r="D1158" s="60">
        <v>2</v>
      </c>
    </row>
    <row r="1159" spans="1:4" x14ac:dyDescent="0.3">
      <c r="A1159" s="57">
        <v>964</v>
      </c>
      <c r="B1159" s="58">
        <v>440</v>
      </c>
      <c r="C1159" s="59" t="s">
        <v>249</v>
      </c>
      <c r="D1159" s="60">
        <v>1</v>
      </c>
    </row>
    <row r="1160" spans="1:4" x14ac:dyDescent="0.3">
      <c r="A1160" s="57">
        <v>965</v>
      </c>
      <c r="B1160" s="58">
        <v>194</v>
      </c>
      <c r="C1160" s="59" t="s">
        <v>250</v>
      </c>
      <c r="D1160" s="60">
        <v>2</v>
      </c>
    </row>
    <row r="1161" spans="1:4" x14ac:dyDescent="0.3">
      <c r="A1161" s="57">
        <v>965</v>
      </c>
      <c r="B1161" s="58">
        <v>489</v>
      </c>
      <c r="C1161" s="59" t="s">
        <v>250</v>
      </c>
      <c r="D1161" s="60">
        <v>1</v>
      </c>
    </row>
    <row r="1162" spans="1:4" x14ac:dyDescent="0.3">
      <c r="A1162" s="57">
        <v>965</v>
      </c>
      <c r="B1162" s="58">
        <v>500</v>
      </c>
      <c r="C1162" s="59" t="s">
        <v>250</v>
      </c>
      <c r="D1162" s="60">
        <v>2</v>
      </c>
    </row>
    <row r="1163" spans="1:4" x14ac:dyDescent="0.3">
      <c r="A1163" s="57">
        <v>966</v>
      </c>
      <c r="B1163" s="58">
        <v>488</v>
      </c>
      <c r="C1163" s="59" t="s">
        <v>97</v>
      </c>
      <c r="D1163" s="60" t="s">
        <v>37</v>
      </c>
    </row>
    <row r="1164" spans="1:4" x14ac:dyDescent="0.3">
      <c r="A1164" s="57">
        <v>967</v>
      </c>
      <c r="B1164" s="58">
        <v>442</v>
      </c>
      <c r="C1164" s="59" t="s">
        <v>109</v>
      </c>
      <c r="D1164" s="60">
        <v>1</v>
      </c>
    </row>
    <row r="1165" spans="1:4" x14ac:dyDescent="0.3">
      <c r="A1165" s="57">
        <v>967</v>
      </c>
      <c r="B1165" s="58">
        <v>443</v>
      </c>
      <c r="C1165" s="59" t="s">
        <v>109</v>
      </c>
      <c r="D1165" s="60">
        <v>2</v>
      </c>
    </row>
    <row r="1166" spans="1:4" x14ac:dyDescent="0.3">
      <c r="A1166" s="57">
        <v>968</v>
      </c>
      <c r="B1166" s="58">
        <v>444</v>
      </c>
      <c r="C1166" s="59" t="s">
        <v>109</v>
      </c>
      <c r="D1166" s="60">
        <v>1</v>
      </c>
    </row>
    <row r="1167" spans="1:4" x14ac:dyDescent="0.3">
      <c r="A1167" s="57">
        <v>969</v>
      </c>
      <c r="B1167" s="58">
        <v>443</v>
      </c>
      <c r="C1167" s="59" t="s">
        <v>250</v>
      </c>
      <c r="D1167" s="60">
        <v>2</v>
      </c>
    </row>
    <row r="1168" spans="1:4" x14ac:dyDescent="0.3">
      <c r="A1168" s="57">
        <v>969</v>
      </c>
      <c r="B1168" s="58">
        <v>489</v>
      </c>
      <c r="C1168" s="59" t="s">
        <v>250</v>
      </c>
      <c r="D1168" s="60">
        <v>1</v>
      </c>
    </row>
    <row r="1169" spans="1:4" x14ac:dyDescent="0.3">
      <c r="A1169" s="57">
        <v>969</v>
      </c>
      <c r="B1169" s="58">
        <v>501</v>
      </c>
      <c r="C1169" s="59" t="s">
        <v>250</v>
      </c>
      <c r="D1169" s="60">
        <v>1</v>
      </c>
    </row>
    <row r="1170" spans="1:4" x14ac:dyDescent="0.3">
      <c r="A1170" s="57">
        <v>970</v>
      </c>
      <c r="B1170" s="58">
        <v>447</v>
      </c>
      <c r="C1170" s="59" t="s">
        <v>63</v>
      </c>
      <c r="D1170" s="60">
        <v>2</v>
      </c>
    </row>
    <row r="1171" spans="1:4" x14ac:dyDescent="0.3">
      <c r="A1171" s="57">
        <v>970</v>
      </c>
      <c r="B1171" s="58">
        <v>448</v>
      </c>
      <c r="C1171" s="59" t="s">
        <v>63</v>
      </c>
      <c r="D1171" s="60">
        <v>1</v>
      </c>
    </row>
    <row r="1172" spans="1:4" x14ac:dyDescent="0.3">
      <c r="A1172" s="57">
        <v>971</v>
      </c>
      <c r="B1172" s="58">
        <v>492</v>
      </c>
      <c r="C1172" s="59" t="s">
        <v>251</v>
      </c>
      <c r="D1172" s="60">
        <v>2</v>
      </c>
    </row>
    <row r="1173" spans="1:4" x14ac:dyDescent="0.3">
      <c r="A1173" s="57">
        <v>971</v>
      </c>
      <c r="B1173" s="58">
        <v>493</v>
      </c>
      <c r="C1173" s="59" t="s">
        <v>251</v>
      </c>
      <c r="D1173" s="60">
        <v>1</v>
      </c>
    </row>
    <row r="1174" spans="1:4" x14ac:dyDescent="0.3">
      <c r="A1174" s="57">
        <v>971</v>
      </c>
      <c r="B1174" s="58">
        <v>494</v>
      </c>
      <c r="C1174" s="59" t="s">
        <v>251</v>
      </c>
      <c r="D1174" s="60">
        <v>1</v>
      </c>
    </row>
    <row r="1175" spans="1:4" x14ac:dyDescent="0.3">
      <c r="A1175" s="57">
        <v>972</v>
      </c>
      <c r="B1175" s="58">
        <v>502</v>
      </c>
      <c r="C1175" s="59" t="s">
        <v>285</v>
      </c>
      <c r="D1175" s="60">
        <v>1</v>
      </c>
    </row>
    <row r="1176" spans="1:4" x14ac:dyDescent="0.3">
      <c r="A1176" s="57">
        <v>972</v>
      </c>
      <c r="B1176" s="58">
        <v>503</v>
      </c>
      <c r="C1176" s="59" t="s">
        <v>285</v>
      </c>
      <c r="D1176" s="60" t="s">
        <v>284</v>
      </c>
    </row>
    <row r="1177" spans="1:4" x14ac:dyDescent="0.3">
      <c r="A1177" s="57">
        <v>973</v>
      </c>
      <c r="B1177" s="58">
        <v>453</v>
      </c>
      <c r="C1177" s="59" t="s">
        <v>107</v>
      </c>
      <c r="D1177" s="60">
        <v>1</v>
      </c>
    </row>
    <row r="1178" spans="1:4" x14ac:dyDescent="0.3">
      <c r="A1178" s="57">
        <v>973</v>
      </c>
      <c r="B1178" s="58">
        <v>454</v>
      </c>
      <c r="C1178" s="59" t="s">
        <v>107</v>
      </c>
      <c r="D1178" s="60">
        <v>2</v>
      </c>
    </row>
    <row r="1179" spans="1:4" x14ac:dyDescent="0.3">
      <c r="A1179" s="57">
        <v>974</v>
      </c>
      <c r="B1179" s="58">
        <v>455</v>
      </c>
      <c r="C1179" s="59" t="s">
        <v>133</v>
      </c>
      <c r="D1179" s="60">
        <v>2</v>
      </c>
    </row>
    <row r="1180" spans="1:4" x14ac:dyDescent="0.3">
      <c r="A1180" s="57">
        <v>975</v>
      </c>
      <c r="B1180" s="58">
        <v>504</v>
      </c>
      <c r="C1180" s="59" t="s">
        <v>313</v>
      </c>
      <c r="D1180" s="60">
        <v>1</v>
      </c>
    </row>
    <row r="1181" spans="1:4" x14ac:dyDescent="0.3">
      <c r="A1181" s="57">
        <v>975</v>
      </c>
      <c r="B1181" s="58">
        <v>505</v>
      </c>
      <c r="C1181" s="59" t="s">
        <v>313</v>
      </c>
      <c r="D1181" s="60">
        <v>2</v>
      </c>
    </row>
    <row r="1182" spans="1:4" x14ac:dyDescent="0.3">
      <c r="A1182" s="57">
        <v>976</v>
      </c>
      <c r="B1182" s="58">
        <v>506</v>
      </c>
      <c r="C1182" s="59" t="s">
        <v>314</v>
      </c>
      <c r="D1182" s="60">
        <v>1</v>
      </c>
    </row>
    <row r="1183" spans="1:4" x14ac:dyDescent="0.3">
      <c r="A1183" s="57">
        <v>976</v>
      </c>
      <c r="B1183" s="58">
        <v>507</v>
      </c>
      <c r="C1183" s="59" t="s">
        <v>314</v>
      </c>
      <c r="D1183" s="60">
        <v>2</v>
      </c>
    </row>
    <row r="1184" spans="1:4" x14ac:dyDescent="0.3">
      <c r="A1184" s="57">
        <v>978</v>
      </c>
      <c r="B1184" s="58">
        <v>462</v>
      </c>
      <c r="C1184" s="59" t="s">
        <v>91</v>
      </c>
      <c r="D1184" s="60" t="s">
        <v>37</v>
      </c>
    </row>
    <row r="1185" spans="1:4" x14ac:dyDescent="0.3">
      <c r="A1185" s="57">
        <v>979</v>
      </c>
      <c r="B1185" s="58">
        <v>463</v>
      </c>
      <c r="C1185" s="59" t="s">
        <v>130</v>
      </c>
      <c r="D1185" s="60" t="s">
        <v>277</v>
      </c>
    </row>
    <row r="1186" spans="1:4" x14ac:dyDescent="0.3">
      <c r="A1186" s="57">
        <v>980</v>
      </c>
      <c r="B1186" s="58">
        <v>466</v>
      </c>
      <c r="C1186" s="59" t="s">
        <v>252</v>
      </c>
      <c r="D1186" s="60">
        <v>2</v>
      </c>
    </row>
    <row r="1187" spans="1:4" x14ac:dyDescent="0.3">
      <c r="A1187" s="57">
        <v>980</v>
      </c>
      <c r="B1187" s="58">
        <v>467</v>
      </c>
      <c r="C1187" s="59" t="s">
        <v>252</v>
      </c>
      <c r="D1187" s="60">
        <v>1</v>
      </c>
    </row>
    <row r="1188" spans="1:4" x14ac:dyDescent="0.3">
      <c r="A1188" s="57">
        <v>981</v>
      </c>
      <c r="B1188" s="58">
        <v>468</v>
      </c>
      <c r="C1188" s="59" t="s">
        <v>253</v>
      </c>
      <c r="D1188" s="60" t="s">
        <v>37</v>
      </c>
    </row>
    <row r="1189" spans="1:4" x14ac:dyDescent="0.3">
      <c r="A1189" s="57">
        <v>982</v>
      </c>
      <c r="B1189" s="58">
        <v>508</v>
      </c>
      <c r="C1189" s="59" t="s">
        <v>315</v>
      </c>
      <c r="D1189" s="60">
        <v>2</v>
      </c>
    </row>
    <row r="1190" spans="1:4" x14ac:dyDescent="0.3">
      <c r="A1190" s="57">
        <v>982</v>
      </c>
      <c r="B1190" s="58">
        <v>509</v>
      </c>
      <c r="C1190" s="59" t="s">
        <v>315</v>
      </c>
      <c r="D1190" s="60">
        <v>1</v>
      </c>
    </row>
    <row r="1191" spans="1:4" x14ac:dyDescent="0.3">
      <c r="A1191" s="57">
        <v>983</v>
      </c>
      <c r="B1191" s="58">
        <v>510</v>
      </c>
      <c r="C1191" s="59" t="s">
        <v>316</v>
      </c>
      <c r="D1191" s="60">
        <v>2</v>
      </c>
    </row>
    <row r="1192" spans="1:4" x14ac:dyDescent="0.3">
      <c r="A1192" s="57">
        <v>983</v>
      </c>
      <c r="B1192" s="58">
        <v>511</v>
      </c>
      <c r="C1192" s="59" t="s">
        <v>316</v>
      </c>
      <c r="D1192" s="60">
        <v>1</v>
      </c>
    </row>
    <row r="1193" spans="1:4" s="79" customFormat="1" ht="12.9" x14ac:dyDescent="0.35">
      <c r="A1193" s="57">
        <v>984</v>
      </c>
      <c r="B1193" s="58">
        <v>512</v>
      </c>
      <c r="C1193" s="59" t="s">
        <v>364</v>
      </c>
      <c r="D1193" s="60">
        <v>1</v>
      </c>
    </row>
    <row r="1194" spans="1:4" s="79" customFormat="1" ht="12.9" x14ac:dyDescent="0.35">
      <c r="A1194" s="57">
        <v>984</v>
      </c>
      <c r="B1194" s="58">
        <v>513</v>
      </c>
      <c r="C1194" s="59" t="s">
        <v>364</v>
      </c>
      <c r="D1194" s="60">
        <v>2</v>
      </c>
    </row>
    <row r="1195" spans="1:4" s="79" customFormat="1" ht="12.9" x14ac:dyDescent="0.35">
      <c r="A1195" s="57">
        <v>985</v>
      </c>
      <c r="B1195" s="58">
        <v>514</v>
      </c>
      <c r="C1195" s="59" t="s">
        <v>365</v>
      </c>
      <c r="D1195" s="60">
        <v>1</v>
      </c>
    </row>
    <row r="1196" spans="1:4" s="79" customFormat="1" ht="12.9" x14ac:dyDescent="0.35">
      <c r="A1196" s="57">
        <v>985</v>
      </c>
      <c r="B1196" s="58">
        <v>515</v>
      </c>
      <c r="C1196" s="59" t="s">
        <v>365</v>
      </c>
      <c r="D1196" s="60">
        <v>2</v>
      </c>
    </row>
    <row r="1197" spans="1:4" x14ac:dyDescent="0.3">
      <c r="A1197" s="57">
        <v>989</v>
      </c>
      <c r="B1197" s="58">
        <v>475</v>
      </c>
      <c r="C1197" s="59" t="s">
        <v>146</v>
      </c>
      <c r="D1197" s="60">
        <v>2</v>
      </c>
    </row>
    <row r="1198" spans="1:4" x14ac:dyDescent="0.3">
      <c r="A1198" s="57">
        <v>989</v>
      </c>
      <c r="B1198" s="58">
        <v>476</v>
      </c>
      <c r="C1198" s="59" t="s">
        <v>146</v>
      </c>
      <c r="D1198" s="60">
        <v>1</v>
      </c>
    </row>
    <row r="1199" spans="1:4" x14ac:dyDescent="0.3">
      <c r="A1199" s="57">
        <v>990</v>
      </c>
      <c r="B1199" s="58">
        <v>477</v>
      </c>
      <c r="C1199" s="59" t="s">
        <v>147</v>
      </c>
      <c r="D1199" s="60" t="s">
        <v>37</v>
      </c>
    </row>
    <row r="1200" spans="1:4" x14ac:dyDescent="0.3">
      <c r="A1200" s="57">
        <v>991</v>
      </c>
      <c r="B1200" s="58">
        <v>478</v>
      </c>
      <c r="C1200" s="59" t="s">
        <v>97</v>
      </c>
      <c r="D1200" s="60" t="s">
        <v>37</v>
      </c>
    </row>
    <row r="1201" spans="1:4" x14ac:dyDescent="0.3">
      <c r="A1201" s="57">
        <v>996</v>
      </c>
      <c r="B1201" s="58">
        <v>485</v>
      </c>
      <c r="C1201" s="59" t="s">
        <v>177</v>
      </c>
      <c r="D1201" s="60">
        <v>2</v>
      </c>
    </row>
    <row r="1202" spans="1:4" x14ac:dyDescent="0.3">
      <c r="A1202" s="57">
        <v>996</v>
      </c>
      <c r="B1202" s="58">
        <v>486</v>
      </c>
      <c r="C1202" s="59" t="s">
        <v>177</v>
      </c>
      <c r="D1202" s="60">
        <v>1</v>
      </c>
    </row>
    <row r="1203" spans="1:4" x14ac:dyDescent="0.3">
      <c r="A1203" s="57">
        <v>996</v>
      </c>
      <c r="B1203" s="58">
        <v>487</v>
      </c>
      <c r="C1203" s="59" t="s">
        <v>177</v>
      </c>
      <c r="D1203" s="60">
        <v>2</v>
      </c>
    </row>
    <row r="1204" spans="1:4" x14ac:dyDescent="0.3">
      <c r="A1204" s="57">
        <v>997</v>
      </c>
      <c r="B1204" s="58">
        <v>490</v>
      </c>
      <c r="C1204" s="59" t="s">
        <v>254</v>
      </c>
      <c r="D1204" s="60" t="s">
        <v>284</v>
      </c>
    </row>
    <row r="1205" spans="1:4" x14ac:dyDescent="0.3">
      <c r="A1205" s="57">
        <v>997</v>
      </c>
      <c r="B1205" s="58">
        <v>491</v>
      </c>
      <c r="C1205" s="59" t="s">
        <v>254</v>
      </c>
      <c r="D1205" s="60">
        <v>1</v>
      </c>
    </row>
  </sheetData>
  <autoFilter ref="A28:D1205" xr:uid="{00000000-0009-0000-0000-000031000000}"/>
  <mergeCells count="1">
    <mergeCell ref="A1:B1"/>
  </mergeCells>
  <hyperlinks>
    <hyperlink ref="A1" location="Overview!A1" display="Back to Overview" xr:uid="{00000000-0004-0000-3100-000000000000}"/>
    <hyperlink ref="A1:B1" location="Overview!A1" display="Back to Overview" xr:uid="{00000000-0004-0000-31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311CB-9393-4B12-A383-4636986F33A3}">
  <dimension ref="A1:F22"/>
  <sheetViews>
    <sheetView workbookViewId="0">
      <selection activeCell="A2" sqref="A2:F2"/>
    </sheetView>
  </sheetViews>
  <sheetFormatPr defaultRowHeight="12.45" x14ac:dyDescent="0.3"/>
  <cols>
    <col min="1" max="1" width="32.15234375" style="497" bestFit="1" customWidth="1"/>
    <col min="2" max="2" width="11.84375" style="497" bestFit="1" customWidth="1"/>
    <col min="3" max="3" width="5.3828125" style="497" bestFit="1" customWidth="1"/>
    <col min="4" max="4" width="16.3828125" style="497" customWidth="1"/>
    <col min="5" max="6" width="16.15234375" style="497" bestFit="1" customWidth="1"/>
    <col min="7" max="16384" width="9.23046875" style="497"/>
  </cols>
  <sheetData>
    <row r="1" spans="1:6" x14ac:dyDescent="0.3">
      <c r="A1" s="506" t="s">
        <v>19</v>
      </c>
      <c r="B1" s="506"/>
    </row>
    <row r="2" spans="1:6" ht="36.75" customHeight="1" x14ac:dyDescent="0.3">
      <c r="A2" s="707" t="str">
        <f>Overview!B4&amp;" - Effective from" &amp;Overview!D4&amp; " Residual Charging Bands"</f>
        <v>Indigo Power Limited - Effective from1 April 2023 Residual Charging Bands</v>
      </c>
      <c r="B2" s="708"/>
      <c r="C2" s="708"/>
      <c r="D2" s="708"/>
      <c r="E2" s="708"/>
      <c r="F2" s="708"/>
    </row>
    <row r="4" spans="1:6" x14ac:dyDescent="0.3">
      <c r="A4" s="513" t="s">
        <v>1295</v>
      </c>
      <c r="B4" s="513" t="s">
        <v>1294</v>
      </c>
      <c r="C4" s="513" t="s">
        <v>1293</v>
      </c>
      <c r="D4" s="513" t="s">
        <v>1292</v>
      </c>
      <c r="E4" s="513" t="s">
        <v>1291</v>
      </c>
      <c r="F4" s="498" t="s">
        <v>480</v>
      </c>
    </row>
    <row r="5" spans="1:6" ht="14.15" x14ac:dyDescent="0.3">
      <c r="A5" s="514" t="s">
        <v>570</v>
      </c>
      <c r="B5" s="484" t="s">
        <v>1290</v>
      </c>
      <c r="C5" s="484" t="s">
        <v>721</v>
      </c>
      <c r="D5" s="486" t="s">
        <v>721</v>
      </c>
      <c r="E5" s="486" t="s">
        <v>721</v>
      </c>
      <c r="F5" s="515"/>
    </row>
    <row r="6" spans="1:6" ht="14.25" customHeight="1" x14ac:dyDescent="0.3">
      <c r="A6" s="701" t="s">
        <v>1289</v>
      </c>
      <c r="B6" s="484">
        <v>1</v>
      </c>
      <c r="C6" s="484" t="s">
        <v>1288</v>
      </c>
      <c r="D6" s="486">
        <v>0</v>
      </c>
      <c r="E6" s="486">
        <v>3571</v>
      </c>
      <c r="F6" s="515"/>
    </row>
    <row r="7" spans="1:6" ht="14.15" x14ac:dyDescent="0.3">
      <c r="A7" s="702"/>
      <c r="B7" s="484">
        <v>2</v>
      </c>
      <c r="C7" s="484" t="s">
        <v>1288</v>
      </c>
      <c r="D7" s="486">
        <v>3571</v>
      </c>
      <c r="E7" s="486">
        <v>12553</v>
      </c>
      <c r="F7" s="515"/>
    </row>
    <row r="8" spans="1:6" ht="14.15" x14ac:dyDescent="0.3">
      <c r="A8" s="702"/>
      <c r="B8" s="484">
        <v>3</v>
      </c>
      <c r="C8" s="484" t="s">
        <v>1288</v>
      </c>
      <c r="D8" s="486">
        <v>12553</v>
      </c>
      <c r="E8" s="486">
        <v>25279</v>
      </c>
      <c r="F8" s="515"/>
    </row>
    <row r="9" spans="1:6" ht="14.15" x14ac:dyDescent="0.3">
      <c r="A9" s="703"/>
      <c r="B9" s="484">
        <v>4</v>
      </c>
      <c r="C9" s="484" t="s">
        <v>1288</v>
      </c>
      <c r="D9" s="486">
        <v>25279</v>
      </c>
      <c r="E9" s="486" t="s">
        <v>1283</v>
      </c>
      <c r="F9" s="515"/>
    </row>
    <row r="10" spans="1:6" ht="14.15" x14ac:dyDescent="0.3">
      <c r="A10" s="701" t="s">
        <v>1287</v>
      </c>
      <c r="B10" s="484">
        <v>1</v>
      </c>
      <c r="C10" s="484" t="s">
        <v>1284</v>
      </c>
      <c r="D10" s="486">
        <v>0</v>
      </c>
      <c r="E10" s="486">
        <v>80</v>
      </c>
      <c r="F10" s="515"/>
    </row>
    <row r="11" spans="1:6" ht="14.15" x14ac:dyDescent="0.3">
      <c r="A11" s="702"/>
      <c r="B11" s="484">
        <v>2</v>
      </c>
      <c r="C11" s="484" t="s">
        <v>1284</v>
      </c>
      <c r="D11" s="486">
        <v>80</v>
      </c>
      <c r="E11" s="486">
        <v>150</v>
      </c>
      <c r="F11" s="515"/>
    </row>
    <row r="12" spans="1:6" ht="14.15" x14ac:dyDescent="0.3">
      <c r="A12" s="702"/>
      <c r="B12" s="484">
        <v>3</v>
      </c>
      <c r="C12" s="484" t="s">
        <v>1284</v>
      </c>
      <c r="D12" s="486">
        <v>150</v>
      </c>
      <c r="E12" s="486">
        <v>231</v>
      </c>
      <c r="F12" s="515"/>
    </row>
    <row r="13" spans="1:6" ht="14.15" x14ac:dyDescent="0.3">
      <c r="A13" s="703"/>
      <c r="B13" s="484">
        <v>4</v>
      </c>
      <c r="C13" s="484" t="s">
        <v>1284</v>
      </c>
      <c r="D13" s="486">
        <v>231</v>
      </c>
      <c r="E13" s="486" t="s">
        <v>1283</v>
      </c>
      <c r="F13" s="515"/>
    </row>
    <row r="14" spans="1:6" ht="14.15" x14ac:dyDescent="0.3">
      <c r="A14" s="701" t="s">
        <v>1286</v>
      </c>
      <c r="B14" s="484">
        <v>1</v>
      </c>
      <c r="C14" s="484" t="s">
        <v>1284</v>
      </c>
      <c r="D14" s="486">
        <v>0</v>
      </c>
      <c r="E14" s="486">
        <v>422</v>
      </c>
      <c r="F14" s="515"/>
    </row>
    <row r="15" spans="1:6" ht="14.15" x14ac:dyDescent="0.3">
      <c r="A15" s="702"/>
      <c r="B15" s="484">
        <v>2</v>
      </c>
      <c r="C15" s="484" t="s">
        <v>1284</v>
      </c>
      <c r="D15" s="486">
        <v>422</v>
      </c>
      <c r="E15" s="486">
        <v>1000</v>
      </c>
      <c r="F15" s="515"/>
    </row>
    <row r="16" spans="1:6" ht="14.15" x14ac:dyDescent="0.3">
      <c r="A16" s="702"/>
      <c r="B16" s="484">
        <v>3</v>
      </c>
      <c r="C16" s="484" t="s">
        <v>1284</v>
      </c>
      <c r="D16" s="486">
        <v>1000</v>
      </c>
      <c r="E16" s="486">
        <v>1800</v>
      </c>
      <c r="F16" s="515"/>
    </row>
    <row r="17" spans="1:6" ht="14.15" x14ac:dyDescent="0.3">
      <c r="A17" s="703"/>
      <c r="B17" s="484">
        <v>4</v>
      </c>
      <c r="C17" s="484" t="s">
        <v>1284</v>
      </c>
      <c r="D17" s="486">
        <v>1800</v>
      </c>
      <c r="E17" s="486" t="s">
        <v>1283</v>
      </c>
      <c r="F17" s="515"/>
    </row>
    <row r="18" spans="1:6" ht="14.15" x14ac:dyDescent="0.3">
      <c r="A18" s="704" t="s">
        <v>1285</v>
      </c>
      <c r="B18" s="484">
        <v>1</v>
      </c>
      <c r="C18" s="484" t="s">
        <v>1284</v>
      </c>
      <c r="D18" s="486">
        <v>0</v>
      </c>
      <c r="E18" s="486">
        <v>5000</v>
      </c>
      <c r="F18" s="515"/>
    </row>
    <row r="19" spans="1:6" ht="14.15" x14ac:dyDescent="0.3">
      <c r="A19" s="705"/>
      <c r="B19" s="484">
        <v>2</v>
      </c>
      <c r="C19" s="484" t="s">
        <v>1284</v>
      </c>
      <c r="D19" s="486">
        <v>5000</v>
      </c>
      <c r="E19" s="486">
        <v>12000</v>
      </c>
      <c r="F19" s="515"/>
    </row>
    <row r="20" spans="1:6" ht="14.15" x14ac:dyDescent="0.3">
      <c r="A20" s="705"/>
      <c r="B20" s="484">
        <v>3</v>
      </c>
      <c r="C20" s="484" t="s">
        <v>1284</v>
      </c>
      <c r="D20" s="486">
        <v>12000</v>
      </c>
      <c r="E20" s="486">
        <v>21500</v>
      </c>
      <c r="F20" s="515"/>
    </row>
    <row r="21" spans="1:6" ht="14.15" x14ac:dyDescent="0.3">
      <c r="A21" s="706"/>
      <c r="B21" s="484">
        <v>4</v>
      </c>
      <c r="C21" s="484" t="s">
        <v>1284</v>
      </c>
      <c r="D21" s="486">
        <v>21500</v>
      </c>
      <c r="E21" s="486" t="s">
        <v>1283</v>
      </c>
      <c r="F21" s="515"/>
    </row>
    <row r="22" spans="1:6" x14ac:dyDescent="0.3">
      <c r="A22" s="497" t="s">
        <v>1282</v>
      </c>
    </row>
  </sheetData>
  <mergeCells count="5">
    <mergeCell ref="A10:A13"/>
    <mergeCell ref="A14:A17"/>
    <mergeCell ref="A18:A21"/>
    <mergeCell ref="A6:A9"/>
    <mergeCell ref="A2:F2"/>
  </mergeCells>
  <hyperlinks>
    <hyperlink ref="A1" location="Overview!A1" display="Back to Overview" xr:uid="{6B4134E8-2D52-4C3B-A7AC-18212A35026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43"/>
  <sheetViews>
    <sheetView zoomScale="50" zoomScaleNormal="50"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6" t="s">
        <v>19</v>
      </c>
      <c r="B1" s="47"/>
      <c r="C1" s="47"/>
      <c r="D1" s="47"/>
      <c r="E1" s="551" t="s">
        <v>463</v>
      </c>
      <c r="F1" s="551"/>
      <c r="G1" s="551"/>
      <c r="H1" s="551"/>
      <c r="I1" s="551"/>
      <c r="J1" s="551"/>
      <c r="K1" s="551"/>
      <c r="L1" s="251"/>
      <c r="M1" s="251"/>
      <c r="N1" s="251"/>
      <c r="O1" s="251"/>
    </row>
    <row r="2" spans="1:15" ht="40" customHeight="1" x14ac:dyDescent="0.3">
      <c r="A2" s="552" t="str">
        <f>Overview!B4&amp;" - Effective from "&amp;Overview!D4&amp;" - Final LV and HV charges in SP Manweb Area (GSP Group _D)"</f>
        <v>Indigo Power Limited - Effective from 1 April 2023 - Final LV and HV charges in SP Manweb Area (GSP Group _D)</v>
      </c>
      <c r="B2" s="552"/>
      <c r="C2" s="552"/>
      <c r="D2" s="552"/>
      <c r="E2" s="552"/>
      <c r="F2" s="552"/>
      <c r="G2" s="552"/>
      <c r="H2" s="552"/>
      <c r="I2" s="552"/>
      <c r="J2" s="552"/>
      <c r="K2" s="552"/>
      <c r="L2" s="252"/>
      <c r="M2" s="252"/>
      <c r="N2" s="253"/>
      <c r="O2" s="253"/>
    </row>
    <row r="3" spans="1:15" s="47" customFormat="1" ht="40" customHeight="1" x14ac:dyDescent="0.3">
      <c r="A3" s="45"/>
      <c r="B3" s="45"/>
      <c r="C3" s="45"/>
      <c r="D3" s="45"/>
      <c r="E3" s="45"/>
      <c r="F3" s="45"/>
      <c r="G3" s="45"/>
      <c r="H3" s="45"/>
      <c r="I3" s="45"/>
      <c r="J3" s="45"/>
      <c r="K3" s="45"/>
      <c r="L3" s="46"/>
      <c r="M3" s="46"/>
    </row>
    <row r="4" spans="1:15" ht="40" customHeight="1" x14ac:dyDescent="0.3">
      <c r="A4" s="553" t="s">
        <v>308</v>
      </c>
      <c r="B4" s="554"/>
      <c r="C4" s="554"/>
      <c r="D4" s="554"/>
      <c r="E4" s="555"/>
      <c r="F4" s="45"/>
      <c r="G4" s="553" t="s">
        <v>307</v>
      </c>
      <c r="H4" s="554"/>
      <c r="I4" s="554"/>
      <c r="J4" s="554"/>
      <c r="K4" s="555"/>
      <c r="M4" s="255"/>
    </row>
    <row r="5" spans="1:15" ht="40" customHeight="1" x14ac:dyDescent="0.3">
      <c r="A5" s="468" t="s">
        <v>13</v>
      </c>
      <c r="B5" s="270" t="s">
        <v>299</v>
      </c>
      <c r="C5" s="547" t="s">
        <v>300</v>
      </c>
      <c r="D5" s="548"/>
      <c r="E5" s="42" t="s">
        <v>301</v>
      </c>
      <c r="F5" s="45"/>
      <c r="G5" s="549"/>
      <c r="H5" s="550"/>
      <c r="I5" s="43" t="s">
        <v>305</v>
      </c>
      <c r="J5" s="44" t="s">
        <v>306</v>
      </c>
      <c r="K5" s="42" t="s">
        <v>301</v>
      </c>
      <c r="L5" s="45"/>
      <c r="M5" s="255"/>
      <c r="N5" s="3"/>
    </row>
    <row r="6" spans="1:15" ht="40" customHeight="1" x14ac:dyDescent="0.3">
      <c r="A6" s="105" t="s">
        <v>601</v>
      </c>
      <c r="B6" s="13" t="s">
        <v>627</v>
      </c>
      <c r="C6" s="542" t="s">
        <v>628</v>
      </c>
      <c r="D6" s="543" t="s">
        <v>603</v>
      </c>
      <c r="E6" s="13" t="s">
        <v>629</v>
      </c>
      <c r="F6" s="45" t="s">
        <v>603</v>
      </c>
      <c r="G6" s="537" t="s">
        <v>302</v>
      </c>
      <c r="H6" s="538" t="s">
        <v>603</v>
      </c>
      <c r="I6" s="109" t="s">
        <v>603</v>
      </c>
      <c r="J6" s="110" t="s">
        <v>630</v>
      </c>
      <c r="K6" s="370" t="s">
        <v>629</v>
      </c>
      <c r="L6" s="45"/>
      <c r="M6" s="255"/>
      <c r="N6" s="3"/>
    </row>
    <row r="7" spans="1:15" ht="40" customHeight="1" x14ac:dyDescent="0.3">
      <c r="A7" s="105" t="s">
        <v>605</v>
      </c>
      <c r="B7" s="371" t="s">
        <v>603</v>
      </c>
      <c r="C7" s="542" t="s">
        <v>631</v>
      </c>
      <c r="D7" s="543" t="s">
        <v>603</v>
      </c>
      <c r="E7" s="13" t="s">
        <v>632</v>
      </c>
      <c r="F7" s="45" t="s">
        <v>603</v>
      </c>
      <c r="G7" s="537" t="s">
        <v>303</v>
      </c>
      <c r="H7" s="538" t="s">
        <v>603</v>
      </c>
      <c r="I7" s="13" t="s">
        <v>627</v>
      </c>
      <c r="J7" s="370" t="s">
        <v>628</v>
      </c>
      <c r="K7" s="372" t="s">
        <v>629</v>
      </c>
      <c r="L7" s="45"/>
      <c r="N7" s="3"/>
    </row>
    <row r="8" spans="1:15" ht="40" customHeight="1" x14ac:dyDescent="0.3">
      <c r="A8" s="465" t="s">
        <v>14</v>
      </c>
      <c r="B8" s="539" t="s">
        <v>15</v>
      </c>
      <c r="C8" s="540" t="s">
        <v>603</v>
      </c>
      <c r="D8" s="540" t="s">
        <v>603</v>
      </c>
      <c r="E8" s="541" t="s">
        <v>603</v>
      </c>
      <c r="F8" s="45" t="s">
        <v>603</v>
      </c>
      <c r="G8" s="537" t="s">
        <v>625</v>
      </c>
      <c r="H8" s="538" t="s">
        <v>603</v>
      </c>
      <c r="I8" s="373" t="s">
        <v>603</v>
      </c>
      <c r="J8" s="370" t="s">
        <v>630</v>
      </c>
      <c r="K8" s="372" t="s">
        <v>629</v>
      </c>
      <c r="L8" s="45"/>
      <c r="N8" s="3"/>
    </row>
    <row r="9" spans="1:15" s="41" customFormat="1" ht="40" customHeight="1" x14ac:dyDescent="0.3">
      <c r="A9" s="47" t="s">
        <v>603</v>
      </c>
      <c r="B9" s="41" t="s">
        <v>603</v>
      </c>
      <c r="C9" s="41" t="s">
        <v>603</v>
      </c>
      <c r="D9" s="41" t="s">
        <v>603</v>
      </c>
      <c r="E9" s="41" t="s">
        <v>603</v>
      </c>
      <c r="F9" s="45" t="s">
        <v>603</v>
      </c>
      <c r="G9" s="537" t="s">
        <v>626</v>
      </c>
      <c r="H9" s="538" t="s">
        <v>603</v>
      </c>
      <c r="I9" s="371" t="s">
        <v>603</v>
      </c>
      <c r="J9" s="372" t="s">
        <v>631</v>
      </c>
      <c r="K9" s="13" t="s">
        <v>633</v>
      </c>
      <c r="L9" s="45"/>
      <c r="M9" s="29"/>
      <c r="N9" s="29"/>
    </row>
    <row r="10" spans="1:15" s="47" customFormat="1" ht="40" customHeight="1" x14ac:dyDescent="0.3">
      <c r="A10" s="45" t="s">
        <v>603</v>
      </c>
      <c r="B10" s="45" t="s">
        <v>603</v>
      </c>
      <c r="C10" s="45" t="s">
        <v>603</v>
      </c>
      <c r="D10" s="45" t="s">
        <v>603</v>
      </c>
      <c r="E10" s="518" t="s">
        <v>480</v>
      </c>
      <c r="F10" s="45" t="s">
        <v>603</v>
      </c>
      <c r="G10" s="537" t="s">
        <v>14</v>
      </c>
      <c r="H10" s="538" t="s">
        <v>603</v>
      </c>
      <c r="I10" s="539" t="s">
        <v>15</v>
      </c>
      <c r="J10" s="540" t="s">
        <v>603</v>
      </c>
      <c r="K10" s="541" t="s">
        <v>603</v>
      </c>
      <c r="L10" s="45"/>
      <c r="M10" s="46"/>
      <c r="N10" s="46"/>
    </row>
    <row r="11" spans="1:15" s="47" customFormat="1"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c r="L11" s="46"/>
      <c r="M11" s="46"/>
    </row>
    <row r="12" spans="1:15" ht="35.049999999999997" customHeight="1" x14ac:dyDescent="0.3">
      <c r="A12" s="10" t="s">
        <v>570</v>
      </c>
      <c r="B12" s="387" t="s">
        <v>977</v>
      </c>
      <c r="C12" s="434" t="s">
        <v>639</v>
      </c>
      <c r="D12" s="501">
        <v>9.218</v>
      </c>
      <c r="E12" s="502">
        <v>2.298</v>
      </c>
      <c r="F12" s="503">
        <v>0.22900000000000001</v>
      </c>
      <c r="G12" s="489">
        <v>21.99</v>
      </c>
      <c r="H12" s="490">
        <v>0</v>
      </c>
      <c r="I12" s="490">
        <v>0</v>
      </c>
      <c r="J12" s="500">
        <v>0</v>
      </c>
      <c r="K12" s="26"/>
    </row>
    <row r="13" spans="1:15" ht="35.049999999999997" customHeight="1" x14ac:dyDescent="0.3">
      <c r="A13" s="10" t="s">
        <v>571</v>
      </c>
      <c r="B13" s="387" t="s">
        <v>978</v>
      </c>
      <c r="C13" s="391" t="s">
        <v>575</v>
      </c>
      <c r="D13" s="501">
        <v>9.218</v>
      </c>
      <c r="E13" s="502">
        <v>2.298</v>
      </c>
      <c r="F13" s="503">
        <v>0.22900000000000001</v>
      </c>
      <c r="G13" s="490">
        <v>0</v>
      </c>
      <c r="H13" s="490">
        <v>0</v>
      </c>
      <c r="I13" s="490">
        <v>0</v>
      </c>
      <c r="J13" s="500">
        <v>0</v>
      </c>
      <c r="K13" s="26"/>
    </row>
    <row r="14" spans="1:15" ht="35.049999999999997" customHeight="1" x14ac:dyDescent="0.3">
      <c r="A14" s="10" t="s">
        <v>745</v>
      </c>
      <c r="B14" s="387" t="s">
        <v>979</v>
      </c>
      <c r="C14" s="409" t="s">
        <v>640</v>
      </c>
      <c r="D14" s="501">
        <v>11.38</v>
      </c>
      <c r="E14" s="502">
        <v>2.8370000000000002</v>
      </c>
      <c r="F14" s="503">
        <v>0.28299999999999997</v>
      </c>
      <c r="G14" s="489">
        <v>6.03</v>
      </c>
      <c r="H14" s="490">
        <v>0</v>
      </c>
      <c r="I14" s="490">
        <v>0</v>
      </c>
      <c r="J14" s="500">
        <v>0</v>
      </c>
      <c r="K14" s="26"/>
    </row>
    <row r="15" spans="1:15" ht="35.049999999999997" customHeight="1" x14ac:dyDescent="0.3">
      <c r="A15" s="10" t="s">
        <v>746</v>
      </c>
      <c r="B15" s="387" t="s">
        <v>980</v>
      </c>
      <c r="C15" s="409" t="s">
        <v>640</v>
      </c>
      <c r="D15" s="501">
        <v>11.38</v>
      </c>
      <c r="E15" s="502">
        <v>2.8370000000000002</v>
      </c>
      <c r="F15" s="503">
        <v>0.28299999999999997</v>
      </c>
      <c r="G15" s="489">
        <v>23.33</v>
      </c>
      <c r="H15" s="490">
        <v>0</v>
      </c>
      <c r="I15" s="490">
        <v>0</v>
      </c>
      <c r="J15" s="500">
        <v>0</v>
      </c>
      <c r="K15" s="26"/>
    </row>
    <row r="16" spans="1:15" ht="35.049999999999997" customHeight="1" x14ac:dyDescent="0.3">
      <c r="A16" s="10" t="s">
        <v>747</v>
      </c>
      <c r="B16" s="27" t="s">
        <v>981</v>
      </c>
      <c r="C16" s="409" t="s">
        <v>640</v>
      </c>
      <c r="D16" s="501">
        <v>11.38</v>
      </c>
      <c r="E16" s="502">
        <v>2.8370000000000002</v>
      </c>
      <c r="F16" s="503">
        <v>0.28299999999999997</v>
      </c>
      <c r="G16" s="489">
        <v>49.71</v>
      </c>
      <c r="H16" s="490">
        <v>0</v>
      </c>
      <c r="I16" s="490">
        <v>0</v>
      </c>
      <c r="J16" s="500">
        <v>0</v>
      </c>
      <c r="K16" s="26"/>
    </row>
    <row r="17" spans="1:20" ht="35.049999999999997" customHeight="1" x14ac:dyDescent="0.3">
      <c r="A17" s="10" t="s">
        <v>748</v>
      </c>
      <c r="B17" s="27" t="s">
        <v>982</v>
      </c>
      <c r="C17" s="409" t="s">
        <v>640</v>
      </c>
      <c r="D17" s="501">
        <v>11.38</v>
      </c>
      <c r="E17" s="502">
        <v>2.8370000000000002</v>
      </c>
      <c r="F17" s="503">
        <v>0.28299999999999997</v>
      </c>
      <c r="G17" s="489">
        <v>103.35</v>
      </c>
      <c r="H17" s="490">
        <v>0</v>
      </c>
      <c r="I17" s="490">
        <v>0</v>
      </c>
      <c r="J17" s="500">
        <v>0</v>
      </c>
      <c r="K17" s="26"/>
    </row>
    <row r="18" spans="1:20" ht="35.049999999999997" customHeight="1" x14ac:dyDescent="0.3">
      <c r="A18" s="10" t="s">
        <v>749</v>
      </c>
      <c r="B18" s="27" t="s">
        <v>983</v>
      </c>
      <c r="C18" s="409" t="s">
        <v>640</v>
      </c>
      <c r="D18" s="501">
        <v>11.38</v>
      </c>
      <c r="E18" s="502">
        <v>2.8370000000000002</v>
      </c>
      <c r="F18" s="503">
        <v>0.28299999999999997</v>
      </c>
      <c r="G18" s="489">
        <v>330.46</v>
      </c>
      <c r="H18" s="490">
        <v>0</v>
      </c>
      <c r="I18" s="490">
        <v>0</v>
      </c>
      <c r="J18" s="500">
        <v>0</v>
      </c>
      <c r="K18" s="26"/>
    </row>
    <row r="19" spans="1:20" ht="35.049999999999997" customHeight="1" x14ac:dyDescent="0.3">
      <c r="A19" s="10" t="s">
        <v>572</v>
      </c>
      <c r="B19" s="27" t="s">
        <v>984</v>
      </c>
      <c r="C19" s="391" t="s">
        <v>577</v>
      </c>
      <c r="D19" s="501">
        <v>11.38</v>
      </c>
      <c r="E19" s="502">
        <v>2.8370000000000002</v>
      </c>
      <c r="F19" s="503">
        <v>0.28299999999999997</v>
      </c>
      <c r="G19" s="490">
        <v>0</v>
      </c>
      <c r="H19" s="490">
        <v>0</v>
      </c>
      <c r="I19" s="490">
        <v>0</v>
      </c>
      <c r="J19" s="500">
        <v>0</v>
      </c>
      <c r="K19" s="26"/>
    </row>
    <row r="20" spans="1:20" ht="35.049999999999997" customHeight="1" x14ac:dyDescent="0.3">
      <c r="A20" s="10" t="s">
        <v>750</v>
      </c>
      <c r="B20" s="24" t="s">
        <v>985</v>
      </c>
      <c r="C20" s="395">
        <v>0</v>
      </c>
      <c r="D20" s="501">
        <v>7.8079999999999998</v>
      </c>
      <c r="E20" s="502">
        <v>1.8069999999999999</v>
      </c>
      <c r="F20" s="503">
        <v>0.17599999999999999</v>
      </c>
      <c r="G20" s="489">
        <v>23.71</v>
      </c>
      <c r="H20" s="489">
        <v>3.19</v>
      </c>
      <c r="I20" s="396">
        <v>5.25</v>
      </c>
      <c r="J20" s="499">
        <v>0.50700000000000001</v>
      </c>
      <c r="K20" s="26"/>
    </row>
    <row r="21" spans="1:20" ht="35.049999999999997" customHeight="1" x14ac:dyDescent="0.3">
      <c r="A21" s="10" t="s">
        <v>751</v>
      </c>
      <c r="B21" s="26" t="s">
        <v>986</v>
      </c>
      <c r="C21" s="395">
        <v>0</v>
      </c>
      <c r="D21" s="501">
        <v>7.8079999999999998</v>
      </c>
      <c r="E21" s="502">
        <v>1.8069999999999999</v>
      </c>
      <c r="F21" s="503">
        <v>0.17599999999999999</v>
      </c>
      <c r="G21" s="489">
        <v>518.69000000000005</v>
      </c>
      <c r="H21" s="489">
        <v>3.19</v>
      </c>
      <c r="I21" s="396">
        <v>5.25</v>
      </c>
      <c r="J21" s="499">
        <v>0.50700000000000001</v>
      </c>
      <c r="K21" s="26"/>
      <c r="L21" s="1"/>
      <c r="M21" s="1"/>
      <c r="N21" s="407"/>
      <c r="O21" s="407"/>
      <c r="P21" s="407"/>
      <c r="Q21" s="407"/>
      <c r="R21" s="407"/>
      <c r="S21" s="407"/>
      <c r="T21" s="407"/>
    </row>
    <row r="22" spans="1:20" ht="35.049999999999997" customHeight="1" x14ac:dyDescent="0.3">
      <c r="A22" s="10" t="s">
        <v>752</v>
      </c>
      <c r="B22" s="26" t="s">
        <v>987</v>
      </c>
      <c r="C22" s="395">
        <v>0</v>
      </c>
      <c r="D22" s="501">
        <v>7.8079999999999998</v>
      </c>
      <c r="E22" s="502">
        <v>1.8069999999999999</v>
      </c>
      <c r="F22" s="503">
        <v>0.17599999999999999</v>
      </c>
      <c r="G22" s="489">
        <v>1027.6199999999999</v>
      </c>
      <c r="H22" s="489">
        <v>3.19</v>
      </c>
      <c r="I22" s="396">
        <v>5.25</v>
      </c>
      <c r="J22" s="499">
        <v>0.50700000000000001</v>
      </c>
      <c r="K22" s="26"/>
    </row>
    <row r="23" spans="1:20" ht="35.049999999999997" customHeight="1" x14ac:dyDescent="0.3">
      <c r="A23" s="10" t="s">
        <v>753</v>
      </c>
      <c r="B23" s="26" t="s">
        <v>988</v>
      </c>
      <c r="C23" s="395">
        <v>0</v>
      </c>
      <c r="D23" s="501">
        <v>7.8079999999999998</v>
      </c>
      <c r="E23" s="502">
        <v>1.8069999999999999</v>
      </c>
      <c r="F23" s="503">
        <v>0.17599999999999999</v>
      </c>
      <c r="G23" s="489">
        <v>1616.07</v>
      </c>
      <c r="H23" s="489">
        <v>3.19</v>
      </c>
      <c r="I23" s="396">
        <v>5.25</v>
      </c>
      <c r="J23" s="499">
        <v>0.50700000000000001</v>
      </c>
      <c r="K23" s="26"/>
      <c r="L23" s="1"/>
      <c r="M23" s="1"/>
      <c r="N23" s="407"/>
      <c r="O23" s="407"/>
      <c r="P23" s="407"/>
      <c r="Q23" s="407"/>
      <c r="R23" s="407"/>
      <c r="S23" s="407"/>
      <c r="T23" s="407"/>
    </row>
    <row r="24" spans="1:20" ht="35.049999999999997" customHeight="1" x14ac:dyDescent="0.3">
      <c r="A24" s="10" t="s">
        <v>754</v>
      </c>
      <c r="B24" s="26" t="s">
        <v>989</v>
      </c>
      <c r="C24" s="395">
        <v>0</v>
      </c>
      <c r="D24" s="501">
        <v>7.8079999999999998</v>
      </c>
      <c r="E24" s="502">
        <v>1.8069999999999999</v>
      </c>
      <c r="F24" s="503">
        <v>0.17599999999999999</v>
      </c>
      <c r="G24" s="489">
        <v>3677.14</v>
      </c>
      <c r="H24" s="489">
        <v>3.19</v>
      </c>
      <c r="I24" s="396">
        <v>5.25</v>
      </c>
      <c r="J24" s="499">
        <v>0.50700000000000001</v>
      </c>
      <c r="K24" s="26"/>
      <c r="L24" s="1"/>
      <c r="M24" s="1"/>
      <c r="N24" s="407"/>
      <c r="O24" s="407"/>
      <c r="P24" s="407"/>
      <c r="Q24" s="407"/>
      <c r="R24" s="407"/>
      <c r="S24" s="407"/>
      <c r="T24" s="407"/>
    </row>
    <row r="25" spans="1:20" ht="35.049999999999997" customHeight="1" x14ac:dyDescent="0.3">
      <c r="A25" s="10" t="s">
        <v>755</v>
      </c>
      <c r="B25" s="392" t="s">
        <v>480</v>
      </c>
      <c r="C25" s="395">
        <v>0</v>
      </c>
      <c r="D25" s="501">
        <v>6.1589999999999998</v>
      </c>
      <c r="E25" s="502">
        <v>1.1839999999999999</v>
      </c>
      <c r="F25" s="503">
        <v>0.106</v>
      </c>
      <c r="G25" s="489">
        <v>8.49</v>
      </c>
      <c r="H25" s="489">
        <v>6.23</v>
      </c>
      <c r="I25" s="396">
        <v>8.2899999999999991</v>
      </c>
      <c r="J25" s="499">
        <v>0.33100000000000002</v>
      </c>
      <c r="K25" s="26"/>
      <c r="L25" s="1"/>
      <c r="M25" s="1"/>
      <c r="N25" s="407"/>
      <c r="O25" s="407"/>
      <c r="P25" s="407"/>
      <c r="Q25" s="407"/>
      <c r="R25" s="407"/>
      <c r="S25" s="407"/>
      <c r="T25" s="407"/>
    </row>
    <row r="26" spans="1:20" ht="35.049999999999997" customHeight="1" x14ac:dyDescent="0.3">
      <c r="A26" s="10" t="s">
        <v>756</v>
      </c>
      <c r="B26" s="392" t="s">
        <v>480</v>
      </c>
      <c r="C26" s="395">
        <v>0</v>
      </c>
      <c r="D26" s="501">
        <v>6.1589999999999998</v>
      </c>
      <c r="E26" s="502">
        <v>1.1839999999999999</v>
      </c>
      <c r="F26" s="503">
        <v>0.106</v>
      </c>
      <c r="G26" s="489">
        <v>503.47</v>
      </c>
      <c r="H26" s="489">
        <v>6.23</v>
      </c>
      <c r="I26" s="396">
        <v>8.2899999999999991</v>
      </c>
      <c r="J26" s="499">
        <v>0.33100000000000002</v>
      </c>
      <c r="K26" s="26"/>
    </row>
    <row r="27" spans="1:20" ht="35.049999999999997" customHeight="1" x14ac:dyDescent="0.3">
      <c r="A27" s="10" t="s">
        <v>757</v>
      </c>
      <c r="B27" s="392" t="s">
        <v>480</v>
      </c>
      <c r="C27" s="395">
        <v>0</v>
      </c>
      <c r="D27" s="501">
        <v>6.1589999999999998</v>
      </c>
      <c r="E27" s="502">
        <v>1.1839999999999999</v>
      </c>
      <c r="F27" s="503">
        <v>0.106</v>
      </c>
      <c r="G27" s="489">
        <v>1012.4</v>
      </c>
      <c r="H27" s="489">
        <v>6.23</v>
      </c>
      <c r="I27" s="396">
        <v>8.2899999999999991</v>
      </c>
      <c r="J27" s="499">
        <v>0.33100000000000002</v>
      </c>
      <c r="K27" s="26"/>
      <c r="L27" s="1"/>
      <c r="M27" s="1"/>
      <c r="N27" s="407"/>
      <c r="O27" s="407"/>
      <c r="P27" s="407"/>
      <c r="Q27" s="407"/>
      <c r="R27" s="407"/>
      <c r="S27" s="407"/>
      <c r="T27" s="407"/>
    </row>
    <row r="28" spans="1:20" ht="35.049999999999997" customHeight="1" x14ac:dyDescent="0.3">
      <c r="A28" s="10" t="s">
        <v>758</v>
      </c>
      <c r="B28" s="392" t="s">
        <v>480</v>
      </c>
      <c r="C28" s="395">
        <v>0</v>
      </c>
      <c r="D28" s="501">
        <v>6.1589999999999998</v>
      </c>
      <c r="E28" s="502">
        <v>1.1839999999999999</v>
      </c>
      <c r="F28" s="503">
        <v>0.106</v>
      </c>
      <c r="G28" s="489">
        <v>1600.85</v>
      </c>
      <c r="H28" s="489">
        <v>6.23</v>
      </c>
      <c r="I28" s="396">
        <v>8.2899999999999991</v>
      </c>
      <c r="J28" s="499">
        <v>0.33100000000000002</v>
      </c>
      <c r="K28" s="26"/>
    </row>
    <row r="29" spans="1:20" ht="35.049999999999997" customHeight="1" x14ac:dyDescent="0.3">
      <c r="A29" s="10" t="s">
        <v>759</v>
      </c>
      <c r="B29" s="392" t="s">
        <v>480</v>
      </c>
      <c r="C29" s="395">
        <v>0</v>
      </c>
      <c r="D29" s="501">
        <v>6.1589999999999998</v>
      </c>
      <c r="E29" s="502">
        <v>1.1839999999999999</v>
      </c>
      <c r="F29" s="503">
        <v>0.106</v>
      </c>
      <c r="G29" s="489">
        <v>3661.92</v>
      </c>
      <c r="H29" s="489">
        <v>6.23</v>
      </c>
      <c r="I29" s="396">
        <v>8.2899999999999991</v>
      </c>
      <c r="J29" s="499">
        <v>0.33100000000000002</v>
      </c>
      <c r="K29" s="26"/>
    </row>
    <row r="30" spans="1:20" ht="35.049999999999997" customHeight="1" x14ac:dyDescent="0.3">
      <c r="A30" s="10" t="s">
        <v>760</v>
      </c>
      <c r="B30" s="387" t="s">
        <v>990</v>
      </c>
      <c r="C30" s="395">
        <v>0</v>
      </c>
      <c r="D30" s="501">
        <v>4.4569999999999999</v>
      </c>
      <c r="E30" s="502">
        <v>0.76400000000000001</v>
      </c>
      <c r="F30" s="503">
        <v>6.0999999999999999E-2</v>
      </c>
      <c r="G30" s="489">
        <v>125.9</v>
      </c>
      <c r="H30" s="489">
        <v>5.01</v>
      </c>
      <c r="I30" s="396">
        <v>7.71</v>
      </c>
      <c r="J30" s="499">
        <v>0.20599999999999999</v>
      </c>
      <c r="K30" s="26"/>
    </row>
    <row r="31" spans="1:20" ht="35.049999999999997" customHeight="1" x14ac:dyDescent="0.3">
      <c r="A31" s="10" t="s">
        <v>761</v>
      </c>
      <c r="B31" s="26" t="s">
        <v>991</v>
      </c>
      <c r="C31" s="395">
        <v>0</v>
      </c>
      <c r="D31" s="501">
        <v>4.4569999999999999</v>
      </c>
      <c r="E31" s="502">
        <v>0.76400000000000001</v>
      </c>
      <c r="F31" s="503">
        <v>6.0999999999999999E-2</v>
      </c>
      <c r="G31" s="489">
        <v>2728.06</v>
      </c>
      <c r="H31" s="489">
        <v>5.01</v>
      </c>
      <c r="I31" s="396">
        <v>7.71</v>
      </c>
      <c r="J31" s="499">
        <v>0.20599999999999999</v>
      </c>
      <c r="K31" s="26"/>
    </row>
    <row r="32" spans="1:20" ht="35.049999999999997" customHeight="1" x14ac:dyDescent="0.3">
      <c r="A32" s="10" t="s">
        <v>762</v>
      </c>
      <c r="B32" s="26" t="s">
        <v>992</v>
      </c>
      <c r="C32" s="395">
        <v>0</v>
      </c>
      <c r="D32" s="501">
        <v>4.4569999999999999</v>
      </c>
      <c r="E32" s="502">
        <v>0.76400000000000001</v>
      </c>
      <c r="F32" s="503">
        <v>6.0999999999999999E-2</v>
      </c>
      <c r="G32" s="489">
        <v>8581.09</v>
      </c>
      <c r="H32" s="489">
        <v>5.01</v>
      </c>
      <c r="I32" s="396">
        <v>7.71</v>
      </c>
      <c r="J32" s="499">
        <v>0.20599999999999999</v>
      </c>
      <c r="K32" s="26"/>
    </row>
    <row r="33" spans="1:11" ht="35.049999999999997" customHeight="1" x14ac:dyDescent="0.3">
      <c r="A33" s="10" t="s">
        <v>763</v>
      </c>
      <c r="B33" s="26" t="s">
        <v>993</v>
      </c>
      <c r="C33" s="395">
        <v>0</v>
      </c>
      <c r="D33" s="501">
        <v>4.4569999999999999</v>
      </c>
      <c r="E33" s="502">
        <v>0.76400000000000001</v>
      </c>
      <c r="F33" s="503">
        <v>6.0999999999999999E-2</v>
      </c>
      <c r="G33" s="489">
        <v>18607.189999999999</v>
      </c>
      <c r="H33" s="489">
        <v>5.01</v>
      </c>
      <c r="I33" s="396">
        <v>7.71</v>
      </c>
      <c r="J33" s="499">
        <v>0.20599999999999999</v>
      </c>
      <c r="K33" s="26"/>
    </row>
    <row r="34" spans="1:11" ht="35.049999999999997" customHeight="1" x14ac:dyDescent="0.3">
      <c r="A34" s="10" t="s">
        <v>764</v>
      </c>
      <c r="B34" s="26" t="s">
        <v>994</v>
      </c>
      <c r="C34" s="395">
        <v>0</v>
      </c>
      <c r="D34" s="501">
        <v>4.4569999999999999</v>
      </c>
      <c r="E34" s="502">
        <v>0.76400000000000001</v>
      </c>
      <c r="F34" s="503">
        <v>6.0999999999999999E-2</v>
      </c>
      <c r="G34" s="489">
        <v>36326.71</v>
      </c>
      <c r="H34" s="489">
        <v>5.01</v>
      </c>
      <c r="I34" s="396">
        <v>7.71</v>
      </c>
      <c r="J34" s="499">
        <v>0.20599999999999999</v>
      </c>
      <c r="K34" s="26"/>
    </row>
    <row r="35" spans="1:11" ht="35.049999999999997" customHeight="1" x14ac:dyDescent="0.3">
      <c r="A35" s="10" t="s">
        <v>573</v>
      </c>
      <c r="B35" s="387" t="s">
        <v>995</v>
      </c>
      <c r="C35" s="395" t="s">
        <v>616</v>
      </c>
      <c r="D35" s="504">
        <v>19.794</v>
      </c>
      <c r="E35" s="505">
        <v>4.6079999999999997</v>
      </c>
      <c r="F35" s="503">
        <v>2.528</v>
      </c>
      <c r="G35" s="490">
        <v>0</v>
      </c>
      <c r="H35" s="490">
        <v>0</v>
      </c>
      <c r="I35" s="490">
        <v>0</v>
      </c>
      <c r="J35" s="500">
        <v>0</v>
      </c>
      <c r="K35" s="26"/>
    </row>
    <row r="36" spans="1:11" ht="35.049999999999997" customHeight="1" x14ac:dyDescent="0.3">
      <c r="A36" s="10" t="s">
        <v>617</v>
      </c>
      <c r="B36" s="27" t="s">
        <v>996</v>
      </c>
      <c r="C36" s="435">
        <v>0</v>
      </c>
      <c r="D36" s="501">
        <v>-7.0460000000000003</v>
      </c>
      <c r="E36" s="502">
        <v>-1.756</v>
      </c>
      <c r="F36" s="503">
        <v>-0.17499999999999999</v>
      </c>
      <c r="G36" s="489">
        <v>0</v>
      </c>
      <c r="H36" s="490">
        <v>0</v>
      </c>
      <c r="I36" s="490">
        <v>0</v>
      </c>
      <c r="J36" s="500">
        <v>0</v>
      </c>
      <c r="K36" s="26"/>
    </row>
    <row r="37" spans="1:11" ht="35.049999999999997" customHeight="1" x14ac:dyDescent="0.3">
      <c r="A37" s="10" t="s">
        <v>682</v>
      </c>
      <c r="B37" s="392" t="s">
        <v>480</v>
      </c>
      <c r="C37" s="395">
        <v>0</v>
      </c>
      <c r="D37" s="501">
        <v>-6.319</v>
      </c>
      <c r="E37" s="502">
        <v>-1.512</v>
      </c>
      <c r="F37" s="503">
        <v>-0.14899999999999999</v>
      </c>
      <c r="G37" s="489">
        <v>0</v>
      </c>
      <c r="H37" s="490">
        <v>0</v>
      </c>
      <c r="I37" s="490">
        <v>0</v>
      </c>
      <c r="J37" s="500">
        <v>0</v>
      </c>
      <c r="K37" s="26"/>
    </row>
    <row r="38" spans="1:11" ht="35.049999999999997" customHeight="1" x14ac:dyDescent="0.3">
      <c r="A38" s="10" t="s">
        <v>597</v>
      </c>
      <c r="B38" s="27" t="s">
        <v>997</v>
      </c>
      <c r="C38" s="395">
        <v>0</v>
      </c>
      <c r="D38" s="501">
        <v>-7.0460000000000003</v>
      </c>
      <c r="E38" s="502">
        <v>-1.756</v>
      </c>
      <c r="F38" s="503">
        <v>-0.17499999999999999</v>
      </c>
      <c r="G38" s="489">
        <v>0</v>
      </c>
      <c r="H38" s="490">
        <v>0</v>
      </c>
      <c r="I38" s="490">
        <v>0</v>
      </c>
      <c r="J38" s="499">
        <v>0.42699999999999999</v>
      </c>
      <c r="K38" s="26"/>
    </row>
    <row r="39" spans="1:11" ht="35.049999999999997" customHeight="1" x14ac:dyDescent="0.3">
      <c r="A39" s="10" t="s">
        <v>683</v>
      </c>
      <c r="B39" s="392" t="s">
        <v>480</v>
      </c>
      <c r="C39" s="395">
        <v>0</v>
      </c>
      <c r="D39" s="501">
        <v>-7.0460000000000003</v>
      </c>
      <c r="E39" s="502">
        <v>-1.756</v>
      </c>
      <c r="F39" s="503">
        <v>-0.17499999999999999</v>
      </c>
      <c r="G39" s="489">
        <v>0</v>
      </c>
      <c r="H39" s="490">
        <v>0</v>
      </c>
      <c r="I39" s="490">
        <v>0</v>
      </c>
      <c r="J39" s="500">
        <v>0</v>
      </c>
      <c r="K39" s="26"/>
    </row>
    <row r="40" spans="1:11" ht="35.049999999999997" customHeight="1" x14ac:dyDescent="0.3">
      <c r="A40" s="10" t="s">
        <v>684</v>
      </c>
      <c r="B40" s="392" t="s">
        <v>480</v>
      </c>
      <c r="C40" s="395">
        <v>0</v>
      </c>
      <c r="D40" s="501">
        <v>-6.319</v>
      </c>
      <c r="E40" s="502">
        <v>-1.512</v>
      </c>
      <c r="F40" s="503">
        <v>-0.14899999999999999</v>
      </c>
      <c r="G40" s="489">
        <v>0</v>
      </c>
      <c r="H40" s="490">
        <v>0</v>
      </c>
      <c r="I40" s="490">
        <v>0</v>
      </c>
      <c r="J40" s="499">
        <v>0.39</v>
      </c>
      <c r="K40" s="26"/>
    </row>
    <row r="41" spans="1:11" ht="35.049999999999997" customHeight="1" x14ac:dyDescent="0.3">
      <c r="A41" s="10" t="s">
        <v>685</v>
      </c>
      <c r="B41" s="392" t="s">
        <v>480</v>
      </c>
      <c r="C41" s="395">
        <v>0</v>
      </c>
      <c r="D41" s="501">
        <v>-6.319</v>
      </c>
      <c r="E41" s="502">
        <v>-1.512</v>
      </c>
      <c r="F41" s="503">
        <v>-0.14899999999999999</v>
      </c>
      <c r="G41" s="489">
        <v>0</v>
      </c>
      <c r="H41" s="490">
        <v>0</v>
      </c>
      <c r="I41" s="490">
        <v>0</v>
      </c>
      <c r="J41" s="500">
        <v>0</v>
      </c>
      <c r="K41" s="26"/>
    </row>
    <row r="42" spans="1:11" ht="35.049999999999997" customHeight="1" x14ac:dyDescent="0.3">
      <c r="A42" s="10" t="s">
        <v>598</v>
      </c>
      <c r="B42" s="26" t="s">
        <v>998</v>
      </c>
      <c r="C42" s="395">
        <v>0</v>
      </c>
      <c r="D42" s="501">
        <v>-4.6360000000000001</v>
      </c>
      <c r="E42" s="502">
        <v>-0.86499999999999999</v>
      </c>
      <c r="F42" s="503">
        <v>-7.4999999999999997E-2</v>
      </c>
      <c r="G42" s="489">
        <v>91.79</v>
      </c>
      <c r="H42" s="490">
        <v>0</v>
      </c>
      <c r="I42" s="490">
        <v>0</v>
      </c>
      <c r="J42" s="499">
        <v>0.29699999999999999</v>
      </c>
      <c r="K42" s="26"/>
    </row>
    <row r="43" spans="1:11" ht="35.049999999999997" customHeight="1" x14ac:dyDescent="0.3">
      <c r="A43" s="10" t="s">
        <v>681</v>
      </c>
      <c r="B43" s="392" t="s">
        <v>480</v>
      </c>
      <c r="C43" s="395">
        <v>0</v>
      </c>
      <c r="D43" s="501">
        <v>-4.6360000000000001</v>
      </c>
      <c r="E43" s="502">
        <v>-0.86499999999999999</v>
      </c>
      <c r="F43" s="503">
        <v>-7.4999999999999997E-2</v>
      </c>
      <c r="G43" s="489">
        <v>91.79</v>
      </c>
      <c r="H43" s="490">
        <v>0</v>
      </c>
      <c r="I43" s="490">
        <v>0</v>
      </c>
      <c r="J43" s="500">
        <v>0</v>
      </c>
      <c r="K43" s="26"/>
    </row>
  </sheetData>
  <mergeCells count="15">
    <mergeCell ref="G9:H9"/>
    <mergeCell ref="G10:H10"/>
    <mergeCell ref="I10:K10"/>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4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2">
    <pageSetUpPr fitToPage="1"/>
  </sheetPr>
  <dimension ref="A1:EZ51"/>
  <sheetViews>
    <sheetView workbookViewId="0"/>
  </sheetViews>
  <sheetFormatPr defaultColWidth="9.15234375" defaultRowHeight="12.45" x14ac:dyDescent="0.3"/>
  <cols>
    <col min="1" max="1" width="2.3828125" style="63" customWidth="1"/>
    <col min="2" max="2" width="33.69140625" style="63" customWidth="1"/>
    <col min="3" max="4" width="14.15234375" style="63" customWidth="1"/>
    <col min="5" max="9" width="12.15234375" style="63" customWidth="1"/>
    <col min="10" max="10" width="5.53515625" style="63" customWidth="1"/>
    <col min="11" max="11" width="5.3046875" style="63" customWidth="1"/>
    <col min="12" max="12" width="35.3046875" style="63" customWidth="1"/>
    <col min="13" max="20" width="11.69140625" style="63" customWidth="1"/>
    <col min="21" max="16384" width="9.15234375" style="63"/>
  </cols>
  <sheetData>
    <row r="1" spans="1:156" x14ac:dyDescent="0.3">
      <c r="B1" s="55" t="s">
        <v>19</v>
      </c>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row>
    <row r="2" spans="1:156" s="65" customFormat="1" ht="21.75" customHeight="1" x14ac:dyDescent="0.3">
      <c r="B2" s="709" t="str">
        <f>Overview!B4&amp; " - Effective from "&amp;Overview!D4&amp;" - "&amp;Overview!E4</f>
        <v>Indigo Power Limited - Effective from 1 April 2023 - Final</v>
      </c>
      <c r="C2" s="710"/>
      <c r="D2" s="710"/>
      <c r="E2" s="710"/>
      <c r="F2" s="710"/>
      <c r="G2" s="710"/>
      <c r="H2" s="710"/>
      <c r="I2" s="710"/>
      <c r="J2" s="710"/>
      <c r="K2" s="710"/>
      <c r="L2" s="710"/>
      <c r="M2" s="710"/>
      <c r="N2" s="710"/>
      <c r="O2" s="710"/>
      <c r="P2" s="710"/>
      <c r="Q2" s="710"/>
      <c r="R2" s="710"/>
      <c r="S2" s="710"/>
      <c r="T2" s="711"/>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row>
    <row r="3" spans="1:156" s="67" customFormat="1" ht="9" customHeight="1" x14ac:dyDescent="0.3">
      <c r="A3" s="66"/>
      <c r="B3" s="66"/>
      <c r="C3" s="66"/>
      <c r="D3" s="66"/>
      <c r="E3" s="66"/>
      <c r="F3" s="66"/>
      <c r="G3" s="66"/>
      <c r="H3" s="66"/>
      <c r="I3" s="66"/>
      <c r="J3" s="66"/>
      <c r="K3" s="66"/>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row>
    <row r="4" spans="1:156" ht="26.25" customHeight="1" x14ac:dyDescent="0.3">
      <c r="B4" s="718" t="s">
        <v>322</v>
      </c>
      <c r="C4" s="719"/>
      <c r="D4" s="719"/>
      <c r="E4" s="719"/>
      <c r="F4" s="719"/>
      <c r="G4" s="719"/>
      <c r="H4" s="719"/>
      <c r="I4" s="720"/>
      <c r="L4" s="721" t="s">
        <v>338</v>
      </c>
      <c r="M4" s="722"/>
      <c r="N4" s="722"/>
      <c r="O4" s="722"/>
      <c r="P4" s="722"/>
      <c r="Q4" s="722"/>
      <c r="R4" s="722"/>
      <c r="S4" s="722"/>
      <c r="T4" s="723"/>
    </row>
    <row r="5" spans="1:156" ht="18" customHeight="1" x14ac:dyDescent="0.3">
      <c r="B5" s="427" t="s">
        <v>727</v>
      </c>
      <c r="C5" s="427"/>
      <c r="D5" s="428" t="s">
        <v>740</v>
      </c>
      <c r="E5" s="427"/>
      <c r="F5" s="427"/>
      <c r="G5" s="427"/>
      <c r="H5" s="427"/>
      <c r="I5" s="427"/>
      <c r="L5" s="726" t="s">
        <v>359</v>
      </c>
      <c r="M5" s="726"/>
      <c r="N5" s="726"/>
      <c r="O5" s="726"/>
      <c r="P5" s="726"/>
      <c r="Q5" s="726"/>
      <c r="R5" s="726"/>
      <c r="S5" s="726"/>
      <c r="T5" s="726"/>
    </row>
    <row r="6" spans="1:156" s="68" customFormat="1" ht="12.45" customHeight="1" x14ac:dyDescent="0.3">
      <c r="B6" s="724" t="s">
        <v>728</v>
      </c>
      <c r="C6" s="724"/>
      <c r="D6" s="724"/>
      <c r="E6" s="724"/>
      <c r="F6" s="724"/>
      <c r="G6" s="724"/>
      <c r="H6" s="724"/>
      <c r="I6" s="724"/>
      <c r="L6" s="727" t="s">
        <v>363</v>
      </c>
      <c r="M6" s="727"/>
      <c r="N6" s="727"/>
      <c r="O6" s="727"/>
      <c r="P6" s="727"/>
      <c r="Q6" s="727"/>
      <c r="R6" s="727"/>
      <c r="S6" s="727"/>
      <c r="T6" s="727"/>
    </row>
    <row r="7" spans="1:156" ht="29.7" customHeight="1" x14ac:dyDescent="0.3">
      <c r="B7" s="725" t="s">
        <v>730</v>
      </c>
      <c r="C7" s="725"/>
      <c r="D7" s="725"/>
      <c r="E7" s="725"/>
      <c r="F7" s="725"/>
      <c r="G7" s="725"/>
      <c r="H7" s="725"/>
      <c r="I7" s="725"/>
      <c r="L7" s="726" t="s">
        <v>360</v>
      </c>
      <c r="M7" s="726"/>
      <c r="N7" s="726"/>
      <c r="O7" s="726"/>
      <c r="P7" s="726"/>
      <c r="Q7" s="726"/>
      <c r="R7" s="726"/>
      <c r="S7" s="726"/>
      <c r="T7" s="726"/>
    </row>
    <row r="8" spans="1:156" ht="10.75" customHeight="1" x14ac:dyDescent="0.3">
      <c r="B8" s="724" t="s">
        <v>729</v>
      </c>
      <c r="C8" s="724"/>
      <c r="D8" s="724"/>
      <c r="E8" s="724"/>
      <c r="F8" s="724"/>
      <c r="G8" s="724"/>
      <c r="H8" s="724"/>
      <c r="I8" s="724"/>
      <c r="L8" s="411"/>
      <c r="M8" s="411"/>
      <c r="N8" s="411"/>
      <c r="O8" s="411"/>
      <c r="P8" s="411"/>
      <c r="Q8" s="411"/>
      <c r="R8" s="411"/>
      <c r="S8" s="411"/>
      <c r="T8" s="411"/>
    </row>
    <row r="9" spans="1:156" ht="72" customHeight="1" x14ac:dyDescent="0.3">
      <c r="B9" s="69" t="s">
        <v>361</v>
      </c>
      <c r="C9" s="70" t="str">
        <f>'Annex 1 LV and HV charges_A'!D11</f>
        <v>Red/black unit charge
p/kWh</v>
      </c>
      <c r="D9" s="70" t="str">
        <f>'Annex 1 LV and HV charges_A'!E11</f>
        <v>Amber/yellow unit charge
p/kWh</v>
      </c>
      <c r="E9" s="70" t="str">
        <f>'Annex 1 LV and HV charges_A'!F11</f>
        <v>Green unit charge
p/kWh</v>
      </c>
      <c r="F9" s="70" t="str">
        <f>'Annex 1 LV and HV charges_A'!G11</f>
        <v>Fixed charge p/MPAN/day</v>
      </c>
      <c r="G9" s="70" t="str">
        <f>'Annex 1 LV and HV charges_A'!H11</f>
        <v>Capacity charge p/kVA/day</v>
      </c>
      <c r="H9" s="70" t="str">
        <f>'Annex 1 LV and HV charges_A'!I11</f>
        <v>Exceeded capacity charge
p/kVA/day</v>
      </c>
      <c r="I9" s="70" t="str">
        <f>'Annex 1 LV and HV charges_A'!J11</f>
        <v>Reactive power charge
p/kVArh</v>
      </c>
      <c r="L9" s="412" t="s">
        <v>362</v>
      </c>
      <c r="M9" s="413" t="e">
        <f>#REF!</f>
        <v>#REF!</v>
      </c>
      <c r="N9" s="413" t="e">
        <f>#REF!</f>
        <v>#REF!</v>
      </c>
      <c r="O9" s="413" t="e">
        <f>#REF!</f>
        <v>#REF!</v>
      </c>
      <c r="P9" s="413" t="e">
        <f>#REF!</f>
        <v>#REF!</v>
      </c>
      <c r="Q9" s="414" t="e">
        <f>#REF!</f>
        <v>#REF!</v>
      </c>
      <c r="R9" s="414" t="e">
        <f>#REF!</f>
        <v>#REF!</v>
      </c>
      <c r="S9" s="414" t="e">
        <f>#REF!</f>
        <v>#REF!</v>
      </c>
      <c r="T9" s="414" t="e">
        <f>#REF!</f>
        <v>#REF!</v>
      </c>
    </row>
    <row r="10" spans="1:156" ht="30" customHeight="1" x14ac:dyDescent="0.3">
      <c r="B10" s="61" t="s">
        <v>570</v>
      </c>
      <c r="C10" s="78">
        <f ca="1">IFERROR(VLOOKUP($B$10,INDIRECT("'Annex 1 LV and HV charges_"&amp;UPPER($D$5)&amp;"'!A1:K46"),4,FALSE),"")</f>
        <v>11.186</v>
      </c>
      <c r="D10" s="78">
        <f t="shared" ref="D10:I10" ca="1" si="0">IFERROR(VLOOKUP($B$10,INDIRECT("'Annex 1 LV and HV charges_"&amp;UPPER($D$5)&amp;"'!A1:K46"),4,FALSE),"")</f>
        <v>11.186</v>
      </c>
      <c r="E10" s="78">
        <f t="shared" ca="1" si="0"/>
        <v>11.186</v>
      </c>
      <c r="F10" s="78">
        <f t="shared" ca="1" si="0"/>
        <v>11.186</v>
      </c>
      <c r="G10" s="78">
        <f t="shared" ca="1" si="0"/>
        <v>11.186</v>
      </c>
      <c r="H10" s="78">
        <f t="shared" ca="1" si="0"/>
        <v>11.186</v>
      </c>
      <c r="I10" s="78">
        <f t="shared" ca="1" si="0"/>
        <v>11.186</v>
      </c>
      <c r="L10" s="415"/>
      <c r="M10" s="416" t="str">
        <f>IFERROR(VLOOKUP($L$10,#REF!,2,FALSE),"")</f>
        <v/>
      </c>
      <c r="N10" s="416" t="str">
        <f>IFERROR(VLOOKUP($L$10,#REF!,3,FALSE),"")</f>
        <v/>
      </c>
      <c r="O10" s="416" t="str">
        <f>IFERROR(VLOOKUP($L$10,#REF!,4,FALSE),"")</f>
        <v/>
      </c>
      <c r="P10" s="416" t="str">
        <f>IFERROR(VLOOKUP($L$10,#REF!,5,FALSE),"")</f>
        <v/>
      </c>
      <c r="Q10" s="417" t="str">
        <f>IFERROR(VLOOKUP($L$10,#REF!,6,FALSE),"")</f>
        <v/>
      </c>
      <c r="R10" s="417" t="str">
        <f>IFERROR(VLOOKUP($L$10,#REF!,7,FALSE),"")</f>
        <v/>
      </c>
      <c r="S10" s="417" t="str">
        <f>IFERROR(VLOOKUP($L$10,#REF!,8,FALSE),"")</f>
        <v/>
      </c>
      <c r="T10" s="417" t="str">
        <f>IFERROR(VLOOKUP($L$10,#REF!,9,FALSE),"")</f>
        <v/>
      </c>
    </row>
    <row r="11" spans="1:156" ht="7.5" customHeight="1" x14ac:dyDescent="0.3">
      <c r="L11" s="411"/>
      <c r="M11" s="411"/>
      <c r="N11" s="411"/>
      <c r="O11" s="411"/>
      <c r="P11" s="411"/>
      <c r="Q11" s="411"/>
      <c r="R11" s="411"/>
      <c r="S11" s="411"/>
      <c r="T11" s="411"/>
    </row>
    <row r="12" spans="1:156" ht="88.5" customHeight="1" x14ac:dyDescent="0.3">
      <c r="B12" s="71" t="s">
        <v>325</v>
      </c>
      <c r="C12" s="70" t="s">
        <v>339</v>
      </c>
      <c r="D12" s="70" t="s">
        <v>340</v>
      </c>
      <c r="E12" s="70" t="s">
        <v>341</v>
      </c>
      <c r="F12" s="70" t="s">
        <v>326</v>
      </c>
      <c r="G12" s="70" t="s">
        <v>323</v>
      </c>
      <c r="H12" s="70" t="s">
        <v>459</v>
      </c>
      <c r="I12" s="70" t="s">
        <v>324</v>
      </c>
      <c r="L12" s="418" t="s">
        <v>325</v>
      </c>
      <c r="M12" s="419" t="s">
        <v>349</v>
      </c>
      <c r="N12" s="419" t="s">
        <v>326</v>
      </c>
      <c r="O12" s="419" t="s">
        <v>345</v>
      </c>
      <c r="P12" s="419" t="s">
        <v>459</v>
      </c>
      <c r="Q12" s="420" t="s">
        <v>347</v>
      </c>
      <c r="R12" s="420" t="s">
        <v>326</v>
      </c>
      <c r="S12" s="420" t="s">
        <v>346</v>
      </c>
      <c r="T12" s="420" t="s">
        <v>459</v>
      </c>
    </row>
    <row r="13" spans="1:156" ht="30" customHeight="1" x14ac:dyDescent="0.3">
      <c r="B13" s="72" t="s">
        <v>327</v>
      </c>
      <c r="C13" s="75">
        <v>10000</v>
      </c>
      <c r="D13" s="75"/>
      <c r="E13" s="75"/>
      <c r="F13" s="75"/>
      <c r="G13" s="75"/>
      <c r="H13" s="75"/>
      <c r="I13" s="75"/>
      <c r="L13" s="421" t="s">
        <v>327</v>
      </c>
      <c r="M13" s="422"/>
      <c r="N13" s="422"/>
      <c r="O13" s="422"/>
      <c r="P13" s="422"/>
      <c r="Q13" s="422"/>
      <c r="R13" s="422">
        <f>N13</f>
        <v>0</v>
      </c>
      <c r="S13" s="422"/>
      <c r="T13" s="422"/>
    </row>
    <row r="14" spans="1:156" ht="30" customHeight="1" x14ac:dyDescent="0.3">
      <c r="B14" s="73" t="s">
        <v>329</v>
      </c>
      <c r="C14" s="62">
        <f>C13</f>
        <v>10000</v>
      </c>
      <c r="D14" s="62">
        <f t="shared" ref="D14:G14" si="1">D13</f>
        <v>0</v>
      </c>
      <c r="E14" s="62">
        <f t="shared" si="1"/>
        <v>0</v>
      </c>
      <c r="F14" s="62">
        <f t="shared" si="1"/>
        <v>0</v>
      </c>
      <c r="G14" s="62">
        <f t="shared" si="1"/>
        <v>0</v>
      </c>
      <c r="H14" s="62">
        <f>H13</f>
        <v>0</v>
      </c>
      <c r="I14" s="62">
        <f>I13</f>
        <v>0</v>
      </c>
      <c r="L14" s="421" t="s">
        <v>329</v>
      </c>
      <c r="M14" s="423">
        <f>M13</f>
        <v>0</v>
      </c>
      <c r="N14" s="423">
        <f t="shared" ref="N14:T14" si="2">N13</f>
        <v>0</v>
      </c>
      <c r="O14" s="423">
        <f t="shared" si="2"/>
        <v>0</v>
      </c>
      <c r="P14" s="423">
        <f t="shared" si="2"/>
        <v>0</v>
      </c>
      <c r="Q14" s="423">
        <f t="shared" si="2"/>
        <v>0</v>
      </c>
      <c r="R14" s="423">
        <f t="shared" si="2"/>
        <v>0</v>
      </c>
      <c r="S14" s="423">
        <f t="shared" si="2"/>
        <v>0</v>
      </c>
      <c r="T14" s="423">
        <f t="shared" si="2"/>
        <v>0</v>
      </c>
    </row>
    <row r="15" spans="1:156" ht="7.5" customHeight="1" x14ac:dyDescent="0.3">
      <c r="L15" s="411"/>
      <c r="M15" s="411"/>
      <c r="N15" s="411"/>
      <c r="O15" s="411"/>
      <c r="P15" s="411"/>
      <c r="Q15" s="411"/>
      <c r="R15" s="411"/>
      <c r="S15" s="411"/>
      <c r="T15" s="411"/>
    </row>
    <row r="16" spans="1:156" ht="63.75" customHeight="1" x14ac:dyDescent="0.3">
      <c r="B16" s="71" t="s">
        <v>328</v>
      </c>
      <c r="C16" s="70" t="s">
        <v>342</v>
      </c>
      <c r="D16" s="70" t="s">
        <v>343</v>
      </c>
      <c r="E16" s="70" t="s">
        <v>344</v>
      </c>
      <c r="F16" s="70" t="s">
        <v>334</v>
      </c>
      <c r="G16" s="70" t="s">
        <v>333</v>
      </c>
      <c r="H16" s="70" t="s">
        <v>460</v>
      </c>
      <c r="I16" s="70" t="s">
        <v>332</v>
      </c>
      <c r="L16" s="418" t="s">
        <v>328</v>
      </c>
      <c r="M16" s="419" t="s">
        <v>350</v>
      </c>
      <c r="N16" s="419" t="s">
        <v>348</v>
      </c>
      <c r="O16" s="419" t="s">
        <v>353</v>
      </c>
      <c r="P16" s="419" t="s">
        <v>461</v>
      </c>
      <c r="Q16" s="420" t="s">
        <v>351</v>
      </c>
      <c r="R16" s="420" t="s">
        <v>352</v>
      </c>
      <c r="S16" s="420" t="s">
        <v>354</v>
      </c>
      <c r="T16" s="420" t="s">
        <v>462</v>
      </c>
    </row>
    <row r="17" spans="2:20" ht="30" customHeight="1" x14ac:dyDescent="0.3">
      <c r="B17" s="72" t="s">
        <v>330</v>
      </c>
      <c r="C17" s="76">
        <f ca="1">IFERROR(C10*C13/100,"")</f>
        <v>1118.5999999999999</v>
      </c>
      <c r="D17" s="76">
        <f t="shared" ref="D17:I17" ca="1" si="3">IFERROR(D10*D13/100,"")</f>
        <v>0</v>
      </c>
      <c r="E17" s="76">
        <f t="shared" ca="1" si="3"/>
        <v>0</v>
      </c>
      <c r="F17" s="76">
        <f t="shared" ca="1" si="3"/>
        <v>0</v>
      </c>
      <c r="G17" s="76">
        <f ca="1">IFERROR(G10*G13*F13/100,"")</f>
        <v>0</v>
      </c>
      <c r="H17" s="76">
        <f ca="1">IFERROR(H10*H13*F13/100,"")</f>
        <v>0</v>
      </c>
      <c r="I17" s="76">
        <f t="shared" ca="1" si="3"/>
        <v>0</v>
      </c>
      <c r="L17" s="424" t="s">
        <v>330</v>
      </c>
      <c r="M17" s="425" t="str">
        <f>IFERROR(M10*M13/100,"")</f>
        <v/>
      </c>
      <c r="N17" s="425" t="str">
        <f>IFERROR(N10*N13/100,"")</f>
        <v/>
      </c>
      <c r="O17" s="425" t="str">
        <f>IFERROR(O10*O13*N13/100,"")</f>
        <v/>
      </c>
      <c r="P17" s="425" t="str">
        <f>IFERROR(P10*P13*N13/100,"")</f>
        <v/>
      </c>
      <c r="Q17" s="425" t="str">
        <f>IFERROR(Q10*Q13/100,"")</f>
        <v/>
      </c>
      <c r="R17" s="425" t="str">
        <f>IFERROR(R10*R13/100,"")</f>
        <v/>
      </c>
      <c r="S17" s="425" t="str">
        <f>IFERROR(S10*S13*R13/100,"")</f>
        <v/>
      </c>
      <c r="T17" s="425" t="str">
        <f>IFERROR(T10*T13*R13/100,"")</f>
        <v/>
      </c>
    </row>
    <row r="18" spans="2:20" ht="30" customHeight="1" x14ac:dyDescent="0.3">
      <c r="B18" s="73" t="s">
        <v>331</v>
      </c>
      <c r="C18" s="77">
        <f ca="1">IFERROR(C10*C14/100,"")</f>
        <v>1118.5999999999999</v>
      </c>
      <c r="D18" s="77">
        <f t="shared" ref="D18:I18" ca="1" si="4">IFERROR(D10*D14/100,"")</f>
        <v>0</v>
      </c>
      <c r="E18" s="77">
        <f t="shared" ca="1" si="4"/>
        <v>0</v>
      </c>
      <c r="F18" s="77">
        <f t="shared" ca="1" si="4"/>
        <v>0</v>
      </c>
      <c r="G18" s="77">
        <f ca="1">IFERROR(G10*G14*F14/100,"")</f>
        <v>0</v>
      </c>
      <c r="H18" s="77">
        <f ca="1">IFERROR(H10*H14*F14/100,"")</f>
        <v>0</v>
      </c>
      <c r="I18" s="77">
        <f t="shared" ca="1" si="4"/>
        <v>0</v>
      </c>
      <c r="L18" s="424" t="s">
        <v>331</v>
      </c>
      <c r="M18" s="426" t="str">
        <f>IFERROR(M10*M14/100,"")</f>
        <v/>
      </c>
      <c r="N18" s="426" t="str">
        <f t="shared" ref="N18" si="5">IFERROR(N10*N14/100,"")</f>
        <v/>
      </c>
      <c r="O18" s="426" t="str">
        <f>IFERROR(O10*O14*N14/100,"")</f>
        <v/>
      </c>
      <c r="P18" s="426" t="str">
        <f>IFERROR(P10*P14*N14/100,"")</f>
        <v/>
      </c>
      <c r="Q18" s="426" t="str">
        <f>IFERROR(Q10*Q14/100,"")</f>
        <v/>
      </c>
      <c r="R18" s="426" t="str">
        <f t="shared" ref="R18" si="6">IFERROR(R10*R14/100,"")</f>
        <v/>
      </c>
      <c r="S18" s="426" t="str">
        <f>IFERROR(S10*S14*R14/100,"")</f>
        <v/>
      </c>
      <c r="T18" s="426" t="str">
        <f>IFERROR(T10*T14*R14/100,"")</f>
        <v/>
      </c>
    </row>
    <row r="19" spans="2:20" ht="7.5" customHeight="1" x14ac:dyDescent="0.3">
      <c r="L19" s="411"/>
      <c r="M19" s="411"/>
      <c r="N19" s="411"/>
      <c r="O19" s="411"/>
      <c r="P19" s="411"/>
      <c r="Q19" s="411"/>
      <c r="R19" s="411"/>
      <c r="S19" s="411"/>
      <c r="T19" s="411"/>
    </row>
    <row r="20" spans="2:20" ht="39.75" customHeight="1" x14ac:dyDescent="0.3">
      <c r="C20" s="74" t="s">
        <v>335</v>
      </c>
      <c r="L20" s="411"/>
      <c r="M20" s="419" t="s">
        <v>355</v>
      </c>
      <c r="N20" s="420" t="s">
        <v>356</v>
      </c>
      <c r="O20" s="411"/>
      <c r="P20" s="411"/>
      <c r="Q20" s="411"/>
      <c r="R20" s="411"/>
      <c r="S20" s="411"/>
      <c r="T20" s="411"/>
    </row>
    <row r="21" spans="2:20" ht="30" customHeight="1" x14ac:dyDescent="0.3">
      <c r="B21" s="72" t="s">
        <v>330</v>
      </c>
      <c r="C21" s="76">
        <f ca="1">SUM(C17:I17)</f>
        <v>1118.5999999999999</v>
      </c>
      <c r="L21" s="421" t="s">
        <v>330</v>
      </c>
      <c r="M21" s="425">
        <f>SUM(M17:P17)</f>
        <v>0</v>
      </c>
      <c r="N21" s="425">
        <f>SUM(Q17:T17)</f>
        <v>0</v>
      </c>
      <c r="O21" s="411"/>
      <c r="P21" s="411"/>
      <c r="Q21" s="411"/>
      <c r="R21" s="411"/>
      <c r="S21" s="411"/>
      <c r="T21" s="411"/>
    </row>
    <row r="22" spans="2:20" ht="30" customHeight="1" x14ac:dyDescent="0.3">
      <c r="B22" s="73" t="s">
        <v>331</v>
      </c>
      <c r="C22" s="77">
        <f ca="1">SUM(C18:I18)</f>
        <v>1118.5999999999999</v>
      </c>
      <c r="L22" s="421" t="s">
        <v>331</v>
      </c>
      <c r="M22" s="426">
        <f>SUM(M18:P18)</f>
        <v>0</v>
      </c>
      <c r="N22" s="426">
        <f>SUM(Q18:T18)</f>
        <v>0</v>
      </c>
      <c r="O22" s="411"/>
      <c r="P22" s="411"/>
      <c r="Q22" s="411"/>
      <c r="R22" s="411"/>
      <c r="S22" s="411"/>
      <c r="T22" s="411"/>
    </row>
    <row r="23" spans="2:20" x14ac:dyDescent="0.3">
      <c r="L23" s="411"/>
      <c r="M23" s="411"/>
      <c r="N23" s="411"/>
      <c r="O23" s="411"/>
      <c r="P23" s="411"/>
      <c r="Q23" s="411"/>
      <c r="R23" s="411"/>
      <c r="S23" s="411"/>
      <c r="T23" s="411"/>
    </row>
    <row r="24" spans="2:20" ht="30.75" customHeight="1" x14ac:dyDescent="0.3">
      <c r="B24" s="712" t="s">
        <v>357</v>
      </c>
      <c r="C24" s="713"/>
      <c r="D24" s="714"/>
      <c r="L24" s="715" t="s">
        <v>358</v>
      </c>
      <c r="M24" s="716"/>
      <c r="N24" s="717"/>
      <c r="O24" s="411"/>
      <c r="P24" s="411"/>
      <c r="Q24" s="411"/>
      <c r="R24" s="411"/>
      <c r="S24" s="411"/>
      <c r="T24" s="411"/>
    </row>
    <row r="38" spans="3:3" x14ac:dyDescent="0.3">
      <c r="C38" s="63" t="s">
        <v>732</v>
      </c>
    </row>
    <row r="39" spans="3:3" x14ac:dyDescent="0.3">
      <c r="C39" s="63" t="s">
        <v>733</v>
      </c>
    </row>
    <row r="40" spans="3:3" x14ac:dyDescent="0.3">
      <c r="C40" s="63" t="s">
        <v>734</v>
      </c>
    </row>
    <row r="41" spans="3:3" x14ac:dyDescent="0.3">
      <c r="C41" s="63" t="s">
        <v>735</v>
      </c>
    </row>
    <row r="42" spans="3:3" x14ac:dyDescent="0.3">
      <c r="C42" s="63" t="s">
        <v>736</v>
      </c>
    </row>
    <row r="43" spans="3:3" x14ac:dyDescent="0.3">
      <c r="C43" s="63" t="s">
        <v>737</v>
      </c>
    </row>
    <row r="44" spans="3:3" x14ac:dyDescent="0.3">
      <c r="C44" s="63" t="s">
        <v>192</v>
      </c>
    </row>
    <row r="45" spans="3:3" x14ac:dyDescent="0.3">
      <c r="C45" s="63" t="s">
        <v>738</v>
      </c>
    </row>
    <row r="46" spans="3:3" x14ac:dyDescent="0.3">
      <c r="C46" s="63" t="s">
        <v>739</v>
      </c>
    </row>
    <row r="47" spans="3:3" x14ac:dyDescent="0.3">
      <c r="C47" s="63" t="s">
        <v>740</v>
      </c>
    </row>
    <row r="48" spans="3:3" x14ac:dyDescent="0.3">
      <c r="C48" s="63" t="s">
        <v>731</v>
      </c>
    </row>
    <row r="49" spans="3:3" x14ac:dyDescent="0.3">
      <c r="C49" s="63" t="s">
        <v>741</v>
      </c>
    </row>
    <row r="50" spans="3:3" x14ac:dyDescent="0.3">
      <c r="C50" s="63" t="s">
        <v>742</v>
      </c>
    </row>
    <row r="51" spans="3:3" x14ac:dyDescent="0.3">
      <c r="C51" s="63" t="s">
        <v>743</v>
      </c>
    </row>
  </sheetData>
  <dataConsolidate/>
  <mergeCells count="11">
    <mergeCell ref="B2:T2"/>
    <mergeCell ref="B24:D24"/>
    <mergeCell ref="L24:N24"/>
    <mergeCell ref="B4:I4"/>
    <mergeCell ref="L4:T4"/>
    <mergeCell ref="B6:I6"/>
    <mergeCell ref="B7:I7"/>
    <mergeCell ref="L5:T5"/>
    <mergeCell ref="L6:T6"/>
    <mergeCell ref="L7:T7"/>
    <mergeCell ref="B8:I8"/>
  </mergeCells>
  <phoneticPr fontId="42" type="noConversion"/>
  <conditionalFormatting sqref="C12:I12">
    <cfRule type="expression" dxfId="8" priority="17">
      <formula>OR(C10="",C10=0)</formula>
    </cfRule>
  </conditionalFormatting>
  <conditionalFormatting sqref="C16:I16">
    <cfRule type="expression" dxfId="7" priority="15">
      <formula>OR(C10="",C10=0)</formula>
    </cfRule>
  </conditionalFormatting>
  <conditionalFormatting sqref="M9:P9">
    <cfRule type="expression" dxfId="6" priority="12">
      <formula>OR(M10="",M10=0)</formula>
    </cfRule>
  </conditionalFormatting>
  <conditionalFormatting sqref="M16:P16">
    <cfRule type="expression" dxfId="5" priority="10">
      <formula>OR(M10="",M10=0)</formula>
    </cfRule>
  </conditionalFormatting>
  <conditionalFormatting sqref="M12:P12">
    <cfRule type="expression" dxfId="4" priority="8">
      <formula>OR(M10="",M10=0)</formula>
    </cfRule>
  </conditionalFormatting>
  <conditionalFormatting sqref="Q9:T9">
    <cfRule type="expression" dxfId="3" priority="4">
      <formula>OR(Q10="",Q10=0)</formula>
    </cfRule>
  </conditionalFormatting>
  <conditionalFormatting sqref="Q12:T12">
    <cfRule type="expression" dxfId="2" priority="3">
      <formula>OR(Q10="",Q10=0)</formula>
    </cfRule>
  </conditionalFormatting>
  <conditionalFormatting sqref="Q16:T16">
    <cfRule type="expression" dxfId="1" priority="2">
      <formula>OR(Q10="",Q10=0)</formula>
    </cfRule>
  </conditionalFormatting>
  <conditionalFormatting sqref="C9:I9">
    <cfRule type="expression" dxfId="0" priority="1">
      <formula>OR(C10="",C10=0)</formula>
    </cfRule>
  </conditionalFormatting>
  <dataValidations count="2">
    <dataValidation type="list" errorStyle="information" allowBlank="1" showInputMessage="1" showErrorMessage="1" promptTitle="Choose site" prompt="Select the EHV site that you would like to calculate charges." sqref="L10" xr:uid="{00000000-0002-0000-3200-000001000000}">
      <formula1>#REF!</formula1>
    </dataValidation>
    <dataValidation type="list" allowBlank="1" showInputMessage="1" showErrorMessage="1" sqref="D5" xr:uid="{0272F2CA-A521-45CC-8902-E3FA701DB664}">
      <formula1>$C$38:$C$51</formula1>
    </dataValidation>
  </dataValidations>
  <hyperlinks>
    <hyperlink ref="B1" location="Overview!A1" display="Back to Overview" xr:uid="{00000000-0004-0000-32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r:uid="{00000000-0002-0000-3200-000000000000}">
          <x14:formula1>
            <xm:f>'Annex 1 LV and HV charges_B'!$A$12:$A$43</xm:f>
          </x14:formula1>
          <xm:sqref>B10</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A745-6C6A-4BBA-BB35-7EAE7E3A32B3}">
  <dimension ref="A1"/>
  <sheetViews>
    <sheetView workbookViewId="0"/>
  </sheetViews>
  <sheetFormatPr defaultRowHeight="12.45"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43"/>
  <sheetViews>
    <sheetView zoomScale="50" zoomScaleNormal="50" workbookViewId="0">
      <selection activeCell="B10" sqref="B10: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112" t="s">
        <v>19</v>
      </c>
      <c r="B1" s="565"/>
      <c r="C1" s="566"/>
      <c r="D1" s="566"/>
      <c r="E1" s="567" t="s">
        <v>463</v>
      </c>
      <c r="F1" s="567"/>
      <c r="G1" s="567"/>
      <c r="H1" s="567"/>
      <c r="I1" s="567"/>
      <c r="J1" s="567"/>
      <c r="K1" s="567"/>
      <c r="L1" s="256"/>
      <c r="M1" s="256"/>
      <c r="N1" s="256"/>
      <c r="O1" s="251"/>
    </row>
    <row r="2" spans="1:15" ht="40" customHeight="1" x14ac:dyDescent="0.3">
      <c r="A2" s="552" t="str">
        <f>Overview!B4&amp;" - Effective from "&amp;Overview!D4&amp;" - Final LV and HV charges in 'Annex 4 LDNO charges  (GSP Group_E)"</f>
        <v>Indigo Power Limited - Effective from 1 April 2023 - Final LV and HV charges in 'Annex 4 LDNO charges  (GSP Group_E)</v>
      </c>
      <c r="B2" s="552"/>
      <c r="C2" s="552"/>
      <c r="D2" s="552"/>
      <c r="E2" s="552"/>
      <c r="F2" s="552"/>
      <c r="G2" s="552"/>
      <c r="H2" s="552"/>
      <c r="I2" s="552"/>
      <c r="J2" s="552"/>
      <c r="K2" s="552"/>
      <c r="L2" s="252"/>
      <c r="M2" s="252"/>
      <c r="N2" s="253"/>
      <c r="O2" s="253"/>
    </row>
    <row r="3" spans="1:15" s="47" customFormat="1" ht="40" customHeight="1" x14ac:dyDescent="0.3">
      <c r="A3" s="45"/>
      <c r="B3" s="45"/>
      <c r="C3" s="45"/>
      <c r="D3" s="45"/>
      <c r="E3" s="45"/>
      <c r="F3" s="45"/>
      <c r="G3" s="45"/>
      <c r="H3" s="45"/>
      <c r="I3" s="45"/>
      <c r="J3" s="45"/>
      <c r="K3" s="45"/>
      <c r="L3" s="46"/>
      <c r="M3" s="46"/>
    </row>
    <row r="4" spans="1:15" ht="40" customHeight="1" x14ac:dyDescent="0.3">
      <c r="A4" s="552" t="s">
        <v>308</v>
      </c>
      <c r="B4" s="552"/>
      <c r="C4" s="552"/>
      <c r="D4" s="552"/>
      <c r="E4" s="552"/>
      <c r="F4" s="45"/>
      <c r="G4" s="552" t="s">
        <v>307</v>
      </c>
      <c r="H4" s="552"/>
      <c r="I4" s="552"/>
      <c r="J4" s="552"/>
      <c r="K4" s="552"/>
    </row>
    <row r="5" spans="1:15" ht="40" customHeight="1" x14ac:dyDescent="0.3">
      <c r="A5" s="468" t="s">
        <v>13</v>
      </c>
      <c r="B5" s="281" t="s">
        <v>299</v>
      </c>
      <c r="C5" s="547" t="s">
        <v>300</v>
      </c>
      <c r="D5" s="548"/>
      <c r="E5" s="42" t="s">
        <v>301</v>
      </c>
      <c r="F5" s="45"/>
      <c r="G5" s="549"/>
      <c r="H5" s="550"/>
      <c r="I5" s="43" t="s">
        <v>305</v>
      </c>
      <c r="J5" s="44" t="s">
        <v>306</v>
      </c>
      <c r="K5" s="42" t="s">
        <v>301</v>
      </c>
      <c r="L5" s="45"/>
      <c r="N5" s="3"/>
    </row>
    <row r="6" spans="1:15" ht="40" customHeight="1" x14ac:dyDescent="0.3">
      <c r="A6" s="105" t="s">
        <v>609</v>
      </c>
      <c r="B6" s="13" t="s">
        <v>467</v>
      </c>
      <c r="C6" s="568" t="s">
        <v>610</v>
      </c>
      <c r="D6" s="568" t="s">
        <v>603</v>
      </c>
      <c r="E6" s="86" t="s">
        <v>611</v>
      </c>
      <c r="F6" s="45" t="s">
        <v>603</v>
      </c>
      <c r="G6" s="569" t="s">
        <v>468</v>
      </c>
      <c r="H6" s="569" t="s">
        <v>603</v>
      </c>
      <c r="I6" s="13" t="s">
        <v>467</v>
      </c>
      <c r="J6" s="279" t="s">
        <v>610</v>
      </c>
      <c r="K6" s="279" t="s">
        <v>611</v>
      </c>
      <c r="L6" s="45"/>
      <c r="N6" s="3"/>
    </row>
    <row r="7" spans="1:15" ht="40" customHeight="1" x14ac:dyDescent="0.3">
      <c r="A7" s="105" t="s">
        <v>612</v>
      </c>
      <c r="B7" s="274" t="s">
        <v>603</v>
      </c>
      <c r="C7" s="556" t="s">
        <v>603</v>
      </c>
      <c r="D7" s="557" t="s">
        <v>603</v>
      </c>
      <c r="E7" s="279" t="s">
        <v>613</v>
      </c>
      <c r="F7" s="45" t="s">
        <v>603</v>
      </c>
      <c r="G7" s="569" t="s">
        <v>614</v>
      </c>
      <c r="H7" s="569" t="s">
        <v>603</v>
      </c>
      <c r="I7" s="274" t="s">
        <v>603</v>
      </c>
      <c r="J7" s="279" t="s">
        <v>615</v>
      </c>
      <c r="K7" s="279" t="s">
        <v>611</v>
      </c>
      <c r="L7" s="45"/>
      <c r="N7" s="3"/>
    </row>
    <row r="8" spans="1:15" ht="40" customHeight="1" x14ac:dyDescent="0.3">
      <c r="A8" s="465" t="s">
        <v>14</v>
      </c>
      <c r="B8" s="569" t="s">
        <v>15</v>
      </c>
      <c r="C8" s="569" t="s">
        <v>603</v>
      </c>
      <c r="D8" s="569" t="s">
        <v>603</v>
      </c>
      <c r="E8" s="569" t="s">
        <v>603</v>
      </c>
      <c r="F8" s="45" t="s">
        <v>603</v>
      </c>
      <c r="G8" s="569" t="s">
        <v>612</v>
      </c>
      <c r="H8" s="569" t="s">
        <v>603</v>
      </c>
      <c r="I8" s="274" t="s">
        <v>603</v>
      </c>
      <c r="J8" s="274" t="s">
        <v>603</v>
      </c>
      <c r="K8" s="279" t="s">
        <v>613</v>
      </c>
      <c r="L8" s="45"/>
      <c r="N8" s="3"/>
    </row>
    <row r="9" spans="1:15" s="41" customFormat="1" ht="40" customHeight="1" x14ac:dyDescent="0.3">
      <c r="A9" s="277" t="s">
        <v>603</v>
      </c>
      <c r="B9" s="277" t="s">
        <v>603</v>
      </c>
      <c r="C9" s="570" t="s">
        <v>603</v>
      </c>
      <c r="D9" s="570" t="s">
        <v>603</v>
      </c>
      <c r="E9" s="277" t="s">
        <v>603</v>
      </c>
      <c r="F9" s="45" t="s">
        <v>603</v>
      </c>
      <c r="G9" s="569" t="s">
        <v>14</v>
      </c>
      <c r="H9" s="569" t="s">
        <v>603</v>
      </c>
      <c r="I9" s="537" t="s">
        <v>15</v>
      </c>
      <c r="J9" s="546" t="s">
        <v>603</v>
      </c>
      <c r="K9" s="538" t="s">
        <v>603</v>
      </c>
      <c r="L9" s="45"/>
      <c r="M9" s="29"/>
      <c r="N9" s="29"/>
    </row>
    <row r="10" spans="1:15" s="47" customFormat="1" ht="40" customHeight="1" x14ac:dyDescent="0.3">
      <c r="A10" s="111"/>
      <c r="B10" s="571" t="s">
        <v>480</v>
      </c>
      <c r="C10" s="572"/>
      <c r="D10" s="572"/>
      <c r="E10" s="572"/>
      <c r="F10" s="45"/>
      <c r="G10" s="573"/>
      <c r="H10" s="573"/>
      <c r="I10" s="278"/>
      <c r="J10" s="278"/>
      <c r="K10" s="278"/>
      <c r="L10" s="45"/>
      <c r="M10" s="46"/>
      <c r="N10" s="46"/>
    </row>
    <row r="11" spans="1:15"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5" ht="35.049999999999997" customHeight="1" x14ac:dyDescent="0.3">
      <c r="A12" s="10" t="s">
        <v>570</v>
      </c>
      <c r="B12" s="387" t="s">
        <v>963</v>
      </c>
      <c r="C12" s="375" t="s">
        <v>574</v>
      </c>
      <c r="D12" s="481">
        <v>6.5549999999999997</v>
      </c>
      <c r="E12" s="478">
        <v>1.1639999999999999</v>
      </c>
      <c r="F12" s="479">
        <v>0.13700000000000001</v>
      </c>
      <c r="G12" s="480">
        <v>14.74</v>
      </c>
      <c r="H12" s="476">
        <v>0</v>
      </c>
      <c r="I12" s="476">
        <v>0</v>
      </c>
      <c r="J12" s="482">
        <v>0</v>
      </c>
      <c r="K12" s="26"/>
    </row>
    <row r="13" spans="1:15" ht="35.049999999999997" customHeight="1" x14ac:dyDescent="0.3">
      <c r="A13" s="10" t="s">
        <v>571</v>
      </c>
      <c r="B13" s="387" t="s">
        <v>964</v>
      </c>
      <c r="C13" s="375" t="s">
        <v>575</v>
      </c>
      <c r="D13" s="481">
        <v>6.5549999999999997</v>
      </c>
      <c r="E13" s="478">
        <v>1.1639999999999999</v>
      </c>
      <c r="F13" s="479">
        <v>0.13700000000000001</v>
      </c>
      <c r="G13" s="476">
        <v>0</v>
      </c>
      <c r="H13" s="476">
        <v>0</v>
      </c>
      <c r="I13" s="476">
        <v>0</v>
      </c>
      <c r="J13" s="482">
        <v>0</v>
      </c>
      <c r="K13" s="26"/>
    </row>
    <row r="14" spans="1:15" ht="35.049999999999997" customHeight="1" x14ac:dyDescent="0.3">
      <c r="A14" s="10" t="s">
        <v>745</v>
      </c>
      <c r="B14" s="387" t="s">
        <v>999</v>
      </c>
      <c r="C14" s="375" t="s">
        <v>576</v>
      </c>
      <c r="D14" s="481">
        <v>6.077</v>
      </c>
      <c r="E14" s="478">
        <v>1.079</v>
      </c>
      <c r="F14" s="479">
        <v>0.127</v>
      </c>
      <c r="G14" s="480">
        <v>10.41</v>
      </c>
      <c r="H14" s="476">
        <v>0</v>
      </c>
      <c r="I14" s="476">
        <v>0</v>
      </c>
      <c r="J14" s="482">
        <v>0</v>
      </c>
      <c r="K14" s="26"/>
    </row>
    <row r="15" spans="1:15" ht="35.049999999999997" customHeight="1" x14ac:dyDescent="0.3">
      <c r="A15" s="10" t="s">
        <v>746</v>
      </c>
      <c r="B15" s="387" t="s">
        <v>1000</v>
      </c>
      <c r="C15" s="436" t="s">
        <v>930</v>
      </c>
      <c r="D15" s="481">
        <v>6.077</v>
      </c>
      <c r="E15" s="478">
        <v>1.079</v>
      </c>
      <c r="F15" s="479">
        <v>0.127</v>
      </c>
      <c r="G15" s="480">
        <v>14.31</v>
      </c>
      <c r="H15" s="476">
        <v>0</v>
      </c>
      <c r="I15" s="476">
        <v>0</v>
      </c>
      <c r="J15" s="482">
        <v>0</v>
      </c>
      <c r="K15" s="26"/>
    </row>
    <row r="16" spans="1:15" ht="35.049999999999997" customHeight="1" x14ac:dyDescent="0.3">
      <c r="A16" s="10" t="s">
        <v>747</v>
      </c>
      <c r="B16" s="27" t="s">
        <v>1001</v>
      </c>
      <c r="C16" s="436" t="s">
        <v>930</v>
      </c>
      <c r="D16" s="481">
        <v>6.077</v>
      </c>
      <c r="E16" s="478">
        <v>1.079</v>
      </c>
      <c r="F16" s="479">
        <v>0.127</v>
      </c>
      <c r="G16" s="480">
        <v>29.82</v>
      </c>
      <c r="H16" s="476">
        <v>0</v>
      </c>
      <c r="I16" s="476">
        <v>0</v>
      </c>
      <c r="J16" s="482">
        <v>0</v>
      </c>
      <c r="K16" s="26"/>
    </row>
    <row r="17" spans="1:11" ht="35.049999999999997" customHeight="1" x14ac:dyDescent="0.3">
      <c r="A17" s="10" t="s">
        <v>748</v>
      </c>
      <c r="B17" s="27" t="s">
        <v>1002</v>
      </c>
      <c r="C17" s="436" t="s">
        <v>930</v>
      </c>
      <c r="D17" s="481">
        <v>6.077</v>
      </c>
      <c r="E17" s="478">
        <v>1.079</v>
      </c>
      <c r="F17" s="479">
        <v>0.127</v>
      </c>
      <c r="G17" s="480">
        <v>56.8</v>
      </c>
      <c r="H17" s="476">
        <v>0</v>
      </c>
      <c r="I17" s="476">
        <v>0</v>
      </c>
      <c r="J17" s="482">
        <v>0</v>
      </c>
      <c r="K17" s="26"/>
    </row>
    <row r="18" spans="1:11" ht="35.049999999999997" customHeight="1" x14ac:dyDescent="0.3">
      <c r="A18" s="10" t="s">
        <v>749</v>
      </c>
      <c r="B18" s="27" t="s">
        <v>1003</v>
      </c>
      <c r="C18" s="436" t="s">
        <v>930</v>
      </c>
      <c r="D18" s="481">
        <v>6.077</v>
      </c>
      <c r="E18" s="478">
        <v>1.079</v>
      </c>
      <c r="F18" s="479">
        <v>0.127</v>
      </c>
      <c r="G18" s="480">
        <v>164.03</v>
      </c>
      <c r="H18" s="476">
        <v>0</v>
      </c>
      <c r="I18" s="476">
        <v>0</v>
      </c>
      <c r="J18" s="482">
        <v>0</v>
      </c>
      <c r="K18" s="26"/>
    </row>
    <row r="19" spans="1:11" ht="35.049999999999997" customHeight="1" x14ac:dyDescent="0.3">
      <c r="A19" s="10" t="s">
        <v>572</v>
      </c>
      <c r="B19" s="27" t="s">
        <v>1004</v>
      </c>
      <c r="C19" s="391" t="s">
        <v>577</v>
      </c>
      <c r="D19" s="481">
        <v>6.077</v>
      </c>
      <c r="E19" s="478">
        <v>1.079</v>
      </c>
      <c r="F19" s="479">
        <v>0.127</v>
      </c>
      <c r="G19" s="476">
        <v>0</v>
      </c>
      <c r="H19" s="476">
        <v>0</v>
      </c>
      <c r="I19" s="476">
        <v>0</v>
      </c>
      <c r="J19" s="482">
        <v>0</v>
      </c>
      <c r="K19" s="26"/>
    </row>
    <row r="20" spans="1:11" ht="35.049999999999997" customHeight="1" x14ac:dyDescent="0.3">
      <c r="A20" s="10" t="s">
        <v>750</v>
      </c>
      <c r="B20" s="24" t="s">
        <v>1005</v>
      </c>
      <c r="C20" s="395">
        <v>0</v>
      </c>
      <c r="D20" s="481">
        <v>4.7450000000000001</v>
      </c>
      <c r="E20" s="478">
        <v>0.85099999999999998</v>
      </c>
      <c r="F20" s="479">
        <v>9.5000000000000001E-2</v>
      </c>
      <c r="G20" s="480">
        <v>14.32</v>
      </c>
      <c r="H20" s="480">
        <v>4.93</v>
      </c>
      <c r="I20" s="485">
        <v>8.65</v>
      </c>
      <c r="J20" s="475">
        <v>0.115</v>
      </c>
      <c r="K20" s="26"/>
    </row>
    <row r="21" spans="1:11" ht="35.049999999999997" customHeight="1" x14ac:dyDescent="0.3">
      <c r="A21" s="10" t="s">
        <v>751</v>
      </c>
      <c r="B21" s="26" t="s">
        <v>1006</v>
      </c>
      <c r="C21" s="395">
        <v>0</v>
      </c>
      <c r="D21" s="481">
        <v>4.7450000000000001</v>
      </c>
      <c r="E21" s="478">
        <v>0.85099999999999998</v>
      </c>
      <c r="F21" s="479">
        <v>9.5000000000000001E-2</v>
      </c>
      <c r="G21" s="480">
        <v>268.51</v>
      </c>
      <c r="H21" s="480">
        <v>4.93</v>
      </c>
      <c r="I21" s="485">
        <v>8.65</v>
      </c>
      <c r="J21" s="475">
        <v>0.115</v>
      </c>
      <c r="K21" s="26"/>
    </row>
    <row r="22" spans="1:11" ht="35.049999999999997" customHeight="1" x14ac:dyDescent="0.3">
      <c r="A22" s="10" t="s">
        <v>752</v>
      </c>
      <c r="B22" s="26" t="s">
        <v>1007</v>
      </c>
      <c r="C22" s="395">
        <v>0</v>
      </c>
      <c r="D22" s="481">
        <v>4.7450000000000001</v>
      </c>
      <c r="E22" s="478">
        <v>0.85099999999999998</v>
      </c>
      <c r="F22" s="479">
        <v>9.5000000000000001E-2</v>
      </c>
      <c r="G22" s="480">
        <v>491.62</v>
      </c>
      <c r="H22" s="480">
        <v>4.93</v>
      </c>
      <c r="I22" s="485">
        <v>8.65</v>
      </c>
      <c r="J22" s="475">
        <v>0.115</v>
      </c>
      <c r="K22" s="26"/>
    </row>
    <row r="23" spans="1:11" ht="35.049999999999997" customHeight="1" x14ac:dyDescent="0.3">
      <c r="A23" s="10" t="s">
        <v>753</v>
      </c>
      <c r="B23" s="26" t="s">
        <v>1008</v>
      </c>
      <c r="C23" s="395">
        <v>0</v>
      </c>
      <c r="D23" s="481">
        <v>4.7450000000000001</v>
      </c>
      <c r="E23" s="478">
        <v>0.85099999999999998</v>
      </c>
      <c r="F23" s="479">
        <v>9.5000000000000001E-2</v>
      </c>
      <c r="G23" s="480">
        <v>773.3</v>
      </c>
      <c r="H23" s="480">
        <v>4.93</v>
      </c>
      <c r="I23" s="485">
        <v>8.65</v>
      </c>
      <c r="J23" s="475">
        <v>0.115</v>
      </c>
      <c r="K23" s="26"/>
    </row>
    <row r="24" spans="1:11" ht="35.049999999999997" customHeight="1" x14ac:dyDescent="0.3">
      <c r="A24" s="10" t="s">
        <v>754</v>
      </c>
      <c r="B24" s="26" t="s">
        <v>1009</v>
      </c>
      <c r="C24" s="395">
        <v>0</v>
      </c>
      <c r="D24" s="481">
        <v>4.7450000000000001</v>
      </c>
      <c r="E24" s="478">
        <v>0.85099999999999998</v>
      </c>
      <c r="F24" s="479">
        <v>9.5000000000000001E-2</v>
      </c>
      <c r="G24" s="480">
        <v>1331.62</v>
      </c>
      <c r="H24" s="480">
        <v>4.93</v>
      </c>
      <c r="I24" s="485">
        <v>8.65</v>
      </c>
      <c r="J24" s="475">
        <v>0.115</v>
      </c>
      <c r="K24" s="26"/>
    </row>
    <row r="25" spans="1:11" ht="35.049999999999997" customHeight="1" x14ac:dyDescent="0.3">
      <c r="A25" s="10" t="s">
        <v>755</v>
      </c>
      <c r="B25" s="392" t="s">
        <v>480</v>
      </c>
      <c r="C25" s="395">
        <v>0</v>
      </c>
      <c r="D25" s="481">
        <v>2.4340000000000002</v>
      </c>
      <c r="E25" s="478">
        <v>0.44900000000000001</v>
      </c>
      <c r="F25" s="479">
        <v>4.2000000000000003E-2</v>
      </c>
      <c r="G25" s="480">
        <v>11.22</v>
      </c>
      <c r="H25" s="480">
        <v>5.34</v>
      </c>
      <c r="I25" s="485">
        <v>7.26</v>
      </c>
      <c r="J25" s="475">
        <v>7.0000000000000007E-2</v>
      </c>
      <c r="K25" s="26"/>
    </row>
    <row r="26" spans="1:11" ht="35.049999999999997" customHeight="1" x14ac:dyDescent="0.3">
      <c r="A26" s="10" t="s">
        <v>756</v>
      </c>
      <c r="B26" s="392" t="s">
        <v>480</v>
      </c>
      <c r="C26" s="395">
        <v>0</v>
      </c>
      <c r="D26" s="481">
        <v>2.4340000000000002</v>
      </c>
      <c r="E26" s="478">
        <v>0.44900000000000001</v>
      </c>
      <c r="F26" s="479">
        <v>4.2000000000000003E-2</v>
      </c>
      <c r="G26" s="480">
        <v>265.39999999999998</v>
      </c>
      <c r="H26" s="480">
        <v>5.34</v>
      </c>
      <c r="I26" s="485">
        <v>7.26</v>
      </c>
      <c r="J26" s="475">
        <v>7.0000000000000007E-2</v>
      </c>
      <c r="K26" s="26"/>
    </row>
    <row r="27" spans="1:11" ht="35.049999999999997" customHeight="1" x14ac:dyDescent="0.3">
      <c r="A27" s="10" t="s">
        <v>757</v>
      </c>
      <c r="B27" s="392" t="s">
        <v>480</v>
      </c>
      <c r="C27" s="395">
        <v>0</v>
      </c>
      <c r="D27" s="481">
        <v>2.4340000000000002</v>
      </c>
      <c r="E27" s="478">
        <v>0.44900000000000001</v>
      </c>
      <c r="F27" s="479">
        <v>4.2000000000000003E-2</v>
      </c>
      <c r="G27" s="480">
        <v>488.52</v>
      </c>
      <c r="H27" s="480">
        <v>5.34</v>
      </c>
      <c r="I27" s="485">
        <v>7.26</v>
      </c>
      <c r="J27" s="475">
        <v>7.0000000000000007E-2</v>
      </c>
      <c r="K27" s="26"/>
    </row>
    <row r="28" spans="1:11" ht="35.049999999999997" customHeight="1" x14ac:dyDescent="0.3">
      <c r="A28" s="10" t="s">
        <v>758</v>
      </c>
      <c r="B28" s="392" t="s">
        <v>480</v>
      </c>
      <c r="C28" s="395">
        <v>0</v>
      </c>
      <c r="D28" s="481">
        <v>2.4340000000000002</v>
      </c>
      <c r="E28" s="478">
        <v>0.44900000000000001</v>
      </c>
      <c r="F28" s="479">
        <v>4.2000000000000003E-2</v>
      </c>
      <c r="G28" s="480">
        <v>770.19</v>
      </c>
      <c r="H28" s="480">
        <v>5.34</v>
      </c>
      <c r="I28" s="485">
        <v>7.26</v>
      </c>
      <c r="J28" s="475">
        <v>7.0000000000000007E-2</v>
      </c>
      <c r="K28" s="26"/>
    </row>
    <row r="29" spans="1:11" ht="35.049999999999997" customHeight="1" x14ac:dyDescent="0.3">
      <c r="A29" s="10" t="s">
        <v>759</v>
      </c>
      <c r="B29" s="392" t="s">
        <v>480</v>
      </c>
      <c r="C29" s="395">
        <v>0</v>
      </c>
      <c r="D29" s="481">
        <v>2.4340000000000002</v>
      </c>
      <c r="E29" s="478">
        <v>0.44900000000000001</v>
      </c>
      <c r="F29" s="479">
        <v>4.2000000000000003E-2</v>
      </c>
      <c r="G29" s="480">
        <v>1328.51</v>
      </c>
      <c r="H29" s="480">
        <v>5.34</v>
      </c>
      <c r="I29" s="485">
        <v>7.26</v>
      </c>
      <c r="J29" s="475">
        <v>7.0000000000000007E-2</v>
      </c>
      <c r="K29" s="26"/>
    </row>
    <row r="30" spans="1:11" ht="35.049999999999997" customHeight="1" x14ac:dyDescent="0.3">
      <c r="A30" s="10" t="s">
        <v>760</v>
      </c>
      <c r="B30" s="387" t="s">
        <v>1010</v>
      </c>
      <c r="C30" s="395">
        <v>0</v>
      </c>
      <c r="D30" s="481">
        <v>1.1830000000000001</v>
      </c>
      <c r="E30" s="478">
        <v>0.20799999999999999</v>
      </c>
      <c r="F30" s="479">
        <v>1.7000000000000001E-2</v>
      </c>
      <c r="G30" s="480">
        <v>102.26</v>
      </c>
      <c r="H30" s="480">
        <v>5.64</v>
      </c>
      <c r="I30" s="485">
        <v>7.34</v>
      </c>
      <c r="J30" s="475">
        <v>0.03</v>
      </c>
      <c r="K30" s="26"/>
    </row>
    <row r="31" spans="1:11" ht="35.049999999999997" customHeight="1" x14ac:dyDescent="0.3">
      <c r="A31" s="10" t="s">
        <v>761</v>
      </c>
      <c r="B31" s="26" t="s">
        <v>1011</v>
      </c>
      <c r="C31" s="395">
        <v>0</v>
      </c>
      <c r="D31" s="481">
        <v>1.1830000000000001</v>
      </c>
      <c r="E31" s="478">
        <v>0.20799999999999999</v>
      </c>
      <c r="F31" s="479">
        <v>1.7000000000000001E-2</v>
      </c>
      <c r="G31" s="480">
        <v>1252.1500000000001</v>
      </c>
      <c r="H31" s="480">
        <v>5.64</v>
      </c>
      <c r="I31" s="485">
        <v>7.34</v>
      </c>
      <c r="J31" s="475">
        <v>0.03</v>
      </c>
      <c r="K31" s="26"/>
    </row>
    <row r="32" spans="1:11" ht="35.049999999999997" customHeight="1" x14ac:dyDescent="0.3">
      <c r="A32" s="10" t="s">
        <v>762</v>
      </c>
      <c r="B32" s="26" t="s">
        <v>1012</v>
      </c>
      <c r="C32" s="395">
        <v>0</v>
      </c>
      <c r="D32" s="481">
        <v>1.1830000000000001</v>
      </c>
      <c r="E32" s="478">
        <v>0.20799999999999999</v>
      </c>
      <c r="F32" s="479">
        <v>1.7000000000000001E-2</v>
      </c>
      <c r="G32" s="480">
        <v>3709.74</v>
      </c>
      <c r="H32" s="480">
        <v>5.64</v>
      </c>
      <c r="I32" s="485">
        <v>7.34</v>
      </c>
      <c r="J32" s="475">
        <v>0.03</v>
      </c>
      <c r="K32" s="26"/>
    </row>
    <row r="33" spans="1:11" ht="35.049999999999997" customHeight="1" x14ac:dyDescent="0.3">
      <c r="A33" s="10" t="s">
        <v>763</v>
      </c>
      <c r="B33" s="26" t="s">
        <v>1013</v>
      </c>
      <c r="C33" s="395">
        <v>0</v>
      </c>
      <c r="D33" s="481">
        <v>1.1830000000000001</v>
      </c>
      <c r="E33" s="478">
        <v>0.20799999999999999</v>
      </c>
      <c r="F33" s="479">
        <v>1.7000000000000001E-2</v>
      </c>
      <c r="G33" s="480">
        <v>8155.65</v>
      </c>
      <c r="H33" s="480">
        <v>5.64</v>
      </c>
      <c r="I33" s="485">
        <v>7.34</v>
      </c>
      <c r="J33" s="475">
        <v>0.03</v>
      </c>
      <c r="K33" s="26"/>
    </row>
    <row r="34" spans="1:11" ht="35.049999999999997" customHeight="1" x14ac:dyDescent="0.3">
      <c r="A34" s="10" t="s">
        <v>764</v>
      </c>
      <c r="B34" s="26" t="s">
        <v>1014</v>
      </c>
      <c r="C34" s="395">
        <v>0</v>
      </c>
      <c r="D34" s="481">
        <v>1.1830000000000001</v>
      </c>
      <c r="E34" s="478">
        <v>0.20799999999999999</v>
      </c>
      <c r="F34" s="479">
        <v>1.7000000000000001E-2</v>
      </c>
      <c r="G34" s="480">
        <v>25189.56</v>
      </c>
      <c r="H34" s="480">
        <v>5.64</v>
      </c>
      <c r="I34" s="485">
        <v>7.34</v>
      </c>
      <c r="J34" s="475">
        <v>0.03</v>
      </c>
      <c r="K34" s="26"/>
    </row>
    <row r="35" spans="1:11" ht="35.049999999999997" customHeight="1" x14ac:dyDescent="0.3">
      <c r="A35" s="10" t="s">
        <v>573</v>
      </c>
      <c r="B35" s="387" t="s">
        <v>1015</v>
      </c>
      <c r="C35" s="395" t="s">
        <v>616</v>
      </c>
      <c r="D35" s="477">
        <v>20.481999999999999</v>
      </c>
      <c r="E35" s="483">
        <v>2.8969999999999998</v>
      </c>
      <c r="F35" s="479">
        <v>2.0299999999999998</v>
      </c>
      <c r="G35" s="476">
        <v>0</v>
      </c>
      <c r="H35" s="476">
        <v>0</v>
      </c>
      <c r="I35" s="476">
        <v>0</v>
      </c>
      <c r="J35" s="482">
        <v>0</v>
      </c>
      <c r="K35" s="26"/>
    </row>
    <row r="36" spans="1:11" ht="35.049999999999997" customHeight="1" x14ac:dyDescent="0.3">
      <c r="A36" s="10" t="s">
        <v>617</v>
      </c>
      <c r="B36" s="27" t="s">
        <v>1016</v>
      </c>
      <c r="C36" s="435">
        <v>0</v>
      </c>
      <c r="D36" s="481">
        <v>-4.1870000000000003</v>
      </c>
      <c r="E36" s="478">
        <v>-0.74399999999999999</v>
      </c>
      <c r="F36" s="479">
        <v>-8.6999999999999994E-2</v>
      </c>
      <c r="G36" s="480">
        <v>0</v>
      </c>
      <c r="H36" s="476">
        <v>0</v>
      </c>
      <c r="I36" s="476">
        <v>0</v>
      </c>
      <c r="J36" s="482">
        <v>0</v>
      </c>
      <c r="K36" s="26"/>
    </row>
    <row r="37" spans="1:11" ht="35.049999999999997" customHeight="1" x14ac:dyDescent="0.3">
      <c r="A37" s="10" t="s">
        <v>682</v>
      </c>
      <c r="B37" s="392" t="s">
        <v>480</v>
      </c>
      <c r="C37" s="395">
        <v>0</v>
      </c>
      <c r="D37" s="481">
        <v>-3.468</v>
      </c>
      <c r="E37" s="478">
        <v>-0.61899999999999999</v>
      </c>
      <c r="F37" s="479">
        <v>-7.0000000000000007E-2</v>
      </c>
      <c r="G37" s="480">
        <v>0</v>
      </c>
      <c r="H37" s="476">
        <v>0</v>
      </c>
      <c r="I37" s="476">
        <v>0</v>
      </c>
      <c r="J37" s="482">
        <v>0</v>
      </c>
      <c r="K37" s="26"/>
    </row>
    <row r="38" spans="1:11" ht="35.049999999999997" customHeight="1" x14ac:dyDescent="0.3">
      <c r="A38" s="10" t="s">
        <v>597</v>
      </c>
      <c r="B38" s="27" t="s">
        <v>1017</v>
      </c>
      <c r="C38" s="395">
        <v>0</v>
      </c>
      <c r="D38" s="481">
        <v>-4.1870000000000003</v>
      </c>
      <c r="E38" s="478">
        <v>-0.74399999999999999</v>
      </c>
      <c r="F38" s="479">
        <v>-8.6999999999999994E-2</v>
      </c>
      <c r="G38" s="480">
        <v>0</v>
      </c>
      <c r="H38" s="476">
        <v>0</v>
      </c>
      <c r="I38" s="476">
        <v>0</v>
      </c>
      <c r="J38" s="475">
        <v>0.13200000000000001</v>
      </c>
      <c r="K38" s="26"/>
    </row>
    <row r="39" spans="1:11" ht="35.049999999999997" customHeight="1" x14ac:dyDescent="0.3">
      <c r="A39" s="10" t="s">
        <v>683</v>
      </c>
      <c r="B39" s="392" t="s">
        <v>480</v>
      </c>
      <c r="C39" s="395">
        <v>0</v>
      </c>
      <c r="D39" s="481">
        <v>-4.1870000000000003</v>
      </c>
      <c r="E39" s="478">
        <v>-0.74399999999999999</v>
      </c>
      <c r="F39" s="479">
        <v>-8.6999999999999994E-2</v>
      </c>
      <c r="G39" s="480">
        <v>0</v>
      </c>
      <c r="H39" s="476">
        <v>0</v>
      </c>
      <c r="I39" s="476">
        <v>0</v>
      </c>
      <c r="J39" s="482">
        <v>0</v>
      </c>
      <c r="K39" s="26"/>
    </row>
    <row r="40" spans="1:11" ht="35.049999999999997" customHeight="1" x14ac:dyDescent="0.3">
      <c r="A40" s="10" t="s">
        <v>684</v>
      </c>
      <c r="B40" s="392" t="s">
        <v>480</v>
      </c>
      <c r="C40" s="395">
        <v>0</v>
      </c>
      <c r="D40" s="481">
        <v>-3.468</v>
      </c>
      <c r="E40" s="478">
        <v>-0.61899999999999999</v>
      </c>
      <c r="F40" s="479">
        <v>-7.0000000000000007E-2</v>
      </c>
      <c r="G40" s="480">
        <v>0</v>
      </c>
      <c r="H40" s="476">
        <v>0</v>
      </c>
      <c r="I40" s="476">
        <v>0</v>
      </c>
      <c r="J40" s="475">
        <v>0.10100000000000001</v>
      </c>
      <c r="K40" s="26"/>
    </row>
    <row r="41" spans="1:11" ht="35.049999999999997" customHeight="1" x14ac:dyDescent="0.3">
      <c r="A41" s="10" t="s">
        <v>685</v>
      </c>
      <c r="B41" s="392" t="s">
        <v>480</v>
      </c>
      <c r="C41" s="395">
        <v>0</v>
      </c>
      <c r="D41" s="481">
        <v>-3.468</v>
      </c>
      <c r="E41" s="478">
        <v>-0.61899999999999999</v>
      </c>
      <c r="F41" s="479">
        <v>-7.0000000000000007E-2</v>
      </c>
      <c r="G41" s="480">
        <v>0</v>
      </c>
      <c r="H41" s="476">
        <v>0</v>
      </c>
      <c r="I41" s="476">
        <v>0</v>
      </c>
      <c r="J41" s="482">
        <v>0</v>
      </c>
      <c r="K41" s="26"/>
    </row>
    <row r="42" spans="1:11" ht="35.049999999999997" customHeight="1" x14ac:dyDescent="0.3">
      <c r="A42" s="10" t="s">
        <v>598</v>
      </c>
      <c r="B42" s="26" t="s">
        <v>1018</v>
      </c>
      <c r="C42" s="395">
        <v>0</v>
      </c>
      <c r="D42" s="481">
        <v>-1.752</v>
      </c>
      <c r="E42" s="478">
        <v>-0.32200000000000001</v>
      </c>
      <c r="F42" s="479">
        <v>-0.03</v>
      </c>
      <c r="G42" s="480">
        <v>63.9</v>
      </c>
      <c r="H42" s="476">
        <v>0</v>
      </c>
      <c r="I42" s="476">
        <v>0</v>
      </c>
      <c r="J42" s="475">
        <v>7.8E-2</v>
      </c>
      <c r="K42" s="26"/>
    </row>
    <row r="43" spans="1:11" ht="35.049999999999997" customHeight="1" x14ac:dyDescent="0.3">
      <c r="A43" s="10" t="s">
        <v>681</v>
      </c>
      <c r="B43" s="392" t="s">
        <v>480</v>
      </c>
      <c r="C43" s="395">
        <v>0</v>
      </c>
      <c r="D43" s="481">
        <v>-1.752</v>
      </c>
      <c r="E43" s="478">
        <v>-0.32200000000000001</v>
      </c>
      <c r="F43" s="479">
        <v>-0.03</v>
      </c>
      <c r="G43" s="480">
        <v>63.9</v>
      </c>
      <c r="H43" s="476">
        <v>0</v>
      </c>
      <c r="I43" s="476">
        <v>0</v>
      </c>
      <c r="J43" s="482">
        <v>0</v>
      </c>
      <c r="K43" s="26"/>
    </row>
  </sheetData>
  <mergeCells count="18">
    <mergeCell ref="C9:D9"/>
    <mergeCell ref="G9:H9"/>
    <mergeCell ref="I9:K9"/>
    <mergeCell ref="B10:E10"/>
    <mergeCell ref="G10:H10"/>
    <mergeCell ref="C6:D6"/>
    <mergeCell ref="G6:H6"/>
    <mergeCell ref="C7:D7"/>
    <mergeCell ref="G7:H7"/>
    <mergeCell ref="B8:E8"/>
    <mergeCell ref="G8:H8"/>
    <mergeCell ref="C5:D5"/>
    <mergeCell ref="G5:H5"/>
    <mergeCell ref="B1:D1"/>
    <mergeCell ref="E1:K1"/>
    <mergeCell ref="A2:K2"/>
    <mergeCell ref="A4:E4"/>
    <mergeCell ref="G4:K4"/>
  </mergeCells>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1&amp;"Arial,Regular" - Schedule of Charges for use of the Distribution System by LV and HV Designated Properties</oddHeader>
    <oddFooter xml:space="preserve">&amp;LNote: Where a tariff only has a p/kWh unit rate in Unit Charge 1 then this unit rate applies at all times.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X43"/>
  <sheetViews>
    <sheetView zoomScale="50" zoomScaleNormal="50" workbookViewId="0">
      <selection activeCell="E10" sqref="E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6" t="s">
        <v>19</v>
      </c>
      <c r="B1" s="45"/>
      <c r="C1" s="45"/>
      <c r="D1" s="45"/>
      <c r="E1" s="551" t="s">
        <v>463</v>
      </c>
      <c r="F1" s="551"/>
      <c r="G1" s="551"/>
      <c r="H1" s="551"/>
      <c r="I1" s="551"/>
      <c r="J1" s="551"/>
      <c r="K1" s="551"/>
      <c r="L1" s="31"/>
    </row>
    <row r="2" spans="1:12" ht="40" customHeight="1" x14ac:dyDescent="0.3">
      <c r="A2" s="552" t="str">
        <f>Overview!B4&amp;" - Effective from "&amp;Overview!D4&amp;" - Final LV and HV charges in NPG Northeast Area (GSP Group _F)"</f>
        <v>Indigo Power Limited - Effective from 1 April 2023 - Final LV and HV charges in NPG Northeast Area (GSP Group _F)</v>
      </c>
      <c r="B2" s="552"/>
      <c r="C2" s="552"/>
      <c r="D2" s="552"/>
      <c r="E2" s="552"/>
      <c r="F2" s="552"/>
      <c r="G2" s="552"/>
      <c r="H2" s="552"/>
      <c r="I2" s="552"/>
      <c r="J2" s="552"/>
      <c r="K2" s="552"/>
    </row>
    <row r="3" spans="1:12" s="47" customFormat="1" ht="40" customHeight="1" x14ac:dyDescent="0.3">
      <c r="A3" s="45"/>
      <c r="B3" s="45"/>
      <c r="C3" s="45"/>
      <c r="D3" s="45"/>
      <c r="E3" s="45"/>
      <c r="F3" s="45"/>
      <c r="G3" s="45"/>
      <c r="H3" s="45"/>
      <c r="I3" s="45"/>
      <c r="J3" s="45"/>
      <c r="K3" s="45"/>
      <c r="L3" s="46"/>
    </row>
    <row r="4" spans="1:12" ht="40" customHeight="1" x14ac:dyDescent="0.3">
      <c r="A4" s="552" t="s">
        <v>308</v>
      </c>
      <c r="B4" s="552"/>
      <c r="C4" s="552"/>
      <c r="D4" s="552"/>
      <c r="E4" s="552"/>
      <c r="F4" s="45"/>
      <c r="G4" s="552" t="s">
        <v>307</v>
      </c>
      <c r="H4" s="552"/>
      <c r="I4" s="552"/>
      <c r="J4" s="552"/>
      <c r="K4" s="552"/>
    </row>
    <row r="5" spans="1:12" ht="40" customHeight="1" x14ac:dyDescent="0.3">
      <c r="A5" s="40" t="s">
        <v>13</v>
      </c>
      <c r="B5" s="281" t="s">
        <v>299</v>
      </c>
      <c r="C5" s="547" t="s">
        <v>300</v>
      </c>
      <c r="D5" s="548"/>
      <c r="E5" s="42" t="s">
        <v>301</v>
      </c>
      <c r="F5" s="45"/>
      <c r="G5" s="549"/>
      <c r="H5" s="550"/>
      <c r="I5" s="43" t="s">
        <v>305</v>
      </c>
      <c r="J5" s="44" t="s">
        <v>306</v>
      </c>
      <c r="K5" s="42" t="s">
        <v>301</v>
      </c>
      <c r="L5" s="45"/>
    </row>
    <row r="6" spans="1:12" ht="40" customHeight="1" x14ac:dyDescent="0.3">
      <c r="A6" s="105" t="s">
        <v>601</v>
      </c>
      <c r="B6" s="13" t="s">
        <v>634</v>
      </c>
      <c r="C6" s="568" t="s">
        <v>635</v>
      </c>
      <c r="D6" s="568" t="s">
        <v>603</v>
      </c>
      <c r="E6" s="13" t="s">
        <v>636</v>
      </c>
      <c r="F6" s="45" t="s">
        <v>603</v>
      </c>
      <c r="G6" s="569" t="s">
        <v>303</v>
      </c>
      <c r="H6" s="569" t="s">
        <v>603</v>
      </c>
      <c r="I6" s="13" t="s">
        <v>634</v>
      </c>
      <c r="J6" s="279" t="s">
        <v>635</v>
      </c>
      <c r="K6" s="279" t="s">
        <v>636</v>
      </c>
      <c r="L6" s="45"/>
    </row>
    <row r="7" spans="1:12" ht="40" customHeight="1" x14ac:dyDescent="0.3">
      <c r="A7" s="105" t="s">
        <v>605</v>
      </c>
      <c r="B7" s="113" t="s">
        <v>603</v>
      </c>
      <c r="C7" s="574" t="s">
        <v>603</v>
      </c>
      <c r="D7" s="575" t="s">
        <v>603</v>
      </c>
      <c r="E7" s="13" t="s">
        <v>613</v>
      </c>
      <c r="F7" s="45" t="s">
        <v>603</v>
      </c>
      <c r="G7" s="569" t="s">
        <v>637</v>
      </c>
      <c r="H7" s="569" t="s">
        <v>603</v>
      </c>
      <c r="I7" s="113" t="s">
        <v>603</v>
      </c>
      <c r="J7" s="279" t="s">
        <v>638</v>
      </c>
      <c r="K7" s="279" t="s">
        <v>636</v>
      </c>
      <c r="L7" s="45"/>
    </row>
    <row r="8" spans="1:12" ht="40" customHeight="1" x14ac:dyDescent="0.3">
      <c r="A8" s="465" t="s">
        <v>14</v>
      </c>
      <c r="B8" s="537" t="s">
        <v>15</v>
      </c>
      <c r="C8" s="546" t="s">
        <v>603</v>
      </c>
      <c r="D8" s="546" t="s">
        <v>603</v>
      </c>
      <c r="E8" s="538" t="s">
        <v>603</v>
      </c>
      <c r="F8" s="45" t="s">
        <v>603</v>
      </c>
      <c r="G8" s="569" t="s">
        <v>626</v>
      </c>
      <c r="H8" s="569" t="s">
        <v>603</v>
      </c>
      <c r="I8" s="113" t="s">
        <v>603</v>
      </c>
      <c r="J8" s="113" t="s">
        <v>603</v>
      </c>
      <c r="K8" s="279" t="s">
        <v>613</v>
      </c>
      <c r="L8" s="45"/>
    </row>
    <row r="9" spans="1:12" s="47" customFormat="1" ht="40" customHeight="1" x14ac:dyDescent="0.3">
      <c r="A9" s="45" t="s">
        <v>603</v>
      </c>
      <c r="B9" s="45" t="s">
        <v>603</v>
      </c>
      <c r="C9" s="45" t="s">
        <v>603</v>
      </c>
      <c r="D9" s="45" t="s">
        <v>603</v>
      </c>
      <c r="E9" s="45" t="s">
        <v>603</v>
      </c>
      <c r="F9" s="45" t="s">
        <v>603</v>
      </c>
      <c r="G9" s="569" t="s">
        <v>14</v>
      </c>
      <c r="H9" s="569" t="s">
        <v>603</v>
      </c>
      <c r="I9" s="537" t="s">
        <v>15</v>
      </c>
      <c r="J9" s="546" t="s">
        <v>603</v>
      </c>
      <c r="K9" s="538" t="s">
        <v>603</v>
      </c>
      <c r="L9" s="46"/>
    </row>
    <row r="10" spans="1:12" s="47" customFormat="1" ht="40" customHeight="1" x14ac:dyDescent="0.3">
      <c r="A10" s="45"/>
      <c r="B10" s="45"/>
      <c r="C10" s="45"/>
      <c r="D10" s="45"/>
      <c r="E10" s="518" t="s">
        <v>480</v>
      </c>
      <c r="F10" s="45"/>
      <c r="G10" s="45"/>
      <c r="H10" s="45"/>
      <c r="I10" s="45"/>
      <c r="J10" s="45"/>
      <c r="K10" s="45"/>
      <c r="L10" s="46"/>
    </row>
    <row r="11" spans="1:12" ht="75" customHeight="1" x14ac:dyDescent="0.3">
      <c r="A11" s="18" t="s">
        <v>455</v>
      </c>
      <c r="B11" s="433" t="s">
        <v>23</v>
      </c>
      <c r="C11" s="433" t="s">
        <v>24</v>
      </c>
      <c r="D11" s="438" t="s">
        <v>579</v>
      </c>
      <c r="E11" s="438" t="s">
        <v>580</v>
      </c>
      <c r="F11" s="438" t="s">
        <v>581</v>
      </c>
      <c r="G11" s="439" t="s">
        <v>25</v>
      </c>
      <c r="H11" s="439" t="s">
        <v>26</v>
      </c>
      <c r="I11" s="440" t="s">
        <v>456</v>
      </c>
      <c r="J11" s="439" t="s">
        <v>270</v>
      </c>
      <c r="K11" s="433" t="s">
        <v>0</v>
      </c>
    </row>
    <row r="12" spans="1:12" ht="35.049999999999997" customHeight="1" x14ac:dyDescent="0.3">
      <c r="A12" s="10" t="s">
        <v>570</v>
      </c>
      <c r="B12" s="387" t="s">
        <v>1019</v>
      </c>
      <c r="C12" s="517" t="s">
        <v>639</v>
      </c>
      <c r="D12" s="441">
        <v>7.1539999999999999</v>
      </c>
      <c r="E12" s="442">
        <v>1.0549999999999999</v>
      </c>
      <c r="F12" s="443">
        <v>0.21299999999999999</v>
      </c>
      <c r="G12" s="444">
        <v>17.57</v>
      </c>
      <c r="H12" s="445">
        <v>0</v>
      </c>
      <c r="I12" s="445">
        <v>0</v>
      </c>
      <c r="J12" s="446">
        <v>0</v>
      </c>
      <c r="K12" s="453"/>
    </row>
    <row r="13" spans="1:12" ht="35.049999999999997" customHeight="1" x14ac:dyDescent="0.3">
      <c r="A13" s="10" t="s">
        <v>571</v>
      </c>
      <c r="B13" s="387" t="s">
        <v>1020</v>
      </c>
      <c r="C13" s="517">
        <v>2</v>
      </c>
      <c r="D13" s="441">
        <v>7.1539999999999999</v>
      </c>
      <c r="E13" s="442">
        <v>1.0549999999999999</v>
      </c>
      <c r="F13" s="443">
        <v>0.21299999999999999</v>
      </c>
      <c r="G13" s="445">
        <v>0</v>
      </c>
      <c r="H13" s="445">
        <v>0</v>
      </c>
      <c r="I13" s="445">
        <v>0</v>
      </c>
      <c r="J13" s="446">
        <v>0</v>
      </c>
      <c r="K13" s="453"/>
    </row>
    <row r="14" spans="1:12" ht="35.049999999999997" customHeight="1" x14ac:dyDescent="0.3">
      <c r="A14" s="10" t="s">
        <v>745</v>
      </c>
      <c r="B14" s="387" t="s">
        <v>1063</v>
      </c>
      <c r="C14" s="517" t="s">
        <v>640</v>
      </c>
      <c r="D14" s="441">
        <v>7.7569999999999997</v>
      </c>
      <c r="E14" s="442">
        <v>1.143</v>
      </c>
      <c r="F14" s="443">
        <v>0.23100000000000001</v>
      </c>
      <c r="G14" s="444">
        <v>7.27</v>
      </c>
      <c r="H14" s="445">
        <v>0</v>
      </c>
      <c r="I14" s="445">
        <v>0</v>
      </c>
      <c r="J14" s="446">
        <v>0</v>
      </c>
      <c r="K14" s="453"/>
    </row>
    <row r="15" spans="1:12" ht="35.049999999999997" customHeight="1" x14ac:dyDescent="0.3">
      <c r="A15" s="10" t="s">
        <v>746</v>
      </c>
      <c r="B15" s="387" t="s">
        <v>1064</v>
      </c>
      <c r="C15" s="517" t="s">
        <v>640</v>
      </c>
      <c r="D15" s="441">
        <v>7.7569999999999997</v>
      </c>
      <c r="E15" s="442">
        <v>1.143</v>
      </c>
      <c r="F15" s="443">
        <v>0.23100000000000001</v>
      </c>
      <c r="G15" s="444">
        <v>12.34</v>
      </c>
      <c r="H15" s="445">
        <v>0</v>
      </c>
      <c r="I15" s="445">
        <v>0</v>
      </c>
      <c r="J15" s="446">
        <v>0</v>
      </c>
      <c r="K15" s="453"/>
    </row>
    <row r="16" spans="1:12" ht="35.049999999999997" customHeight="1" x14ac:dyDescent="0.3">
      <c r="A16" s="10" t="s">
        <v>747</v>
      </c>
      <c r="B16" s="27" t="s">
        <v>1065</v>
      </c>
      <c r="C16" s="517" t="s">
        <v>640</v>
      </c>
      <c r="D16" s="441">
        <v>7.7569999999999997</v>
      </c>
      <c r="E16" s="442">
        <v>1.143</v>
      </c>
      <c r="F16" s="443">
        <v>0.23100000000000001</v>
      </c>
      <c r="G16" s="444">
        <v>34.01</v>
      </c>
      <c r="H16" s="445">
        <v>0</v>
      </c>
      <c r="I16" s="445">
        <v>0</v>
      </c>
      <c r="J16" s="446">
        <v>0</v>
      </c>
      <c r="K16" s="453"/>
    </row>
    <row r="17" spans="1:50" ht="35.049999999999997" customHeight="1" x14ac:dyDescent="0.3">
      <c r="A17" s="10" t="s">
        <v>748</v>
      </c>
      <c r="B17" s="27" t="s">
        <v>1066</v>
      </c>
      <c r="C17" s="517" t="s">
        <v>640</v>
      </c>
      <c r="D17" s="441">
        <v>7.7569999999999997</v>
      </c>
      <c r="E17" s="442">
        <v>1.143</v>
      </c>
      <c r="F17" s="443">
        <v>0.23100000000000001</v>
      </c>
      <c r="G17" s="444">
        <v>73.77</v>
      </c>
      <c r="H17" s="445">
        <v>0</v>
      </c>
      <c r="I17" s="445">
        <v>0</v>
      </c>
      <c r="J17" s="446">
        <v>0</v>
      </c>
      <c r="K17" s="453"/>
    </row>
    <row r="18" spans="1:50" ht="35.049999999999997" customHeight="1" x14ac:dyDescent="0.3">
      <c r="A18" s="10" t="s">
        <v>749</v>
      </c>
      <c r="B18" s="27" t="s">
        <v>1067</v>
      </c>
      <c r="C18" s="517" t="s">
        <v>640</v>
      </c>
      <c r="D18" s="441">
        <v>7.7569999999999997</v>
      </c>
      <c r="E18" s="442">
        <v>1.143</v>
      </c>
      <c r="F18" s="443">
        <v>0.23100000000000001</v>
      </c>
      <c r="G18" s="444">
        <v>208.46</v>
      </c>
      <c r="H18" s="445">
        <v>0</v>
      </c>
      <c r="I18" s="445">
        <v>0</v>
      </c>
      <c r="J18" s="446">
        <v>0</v>
      </c>
      <c r="K18" s="453"/>
    </row>
    <row r="19" spans="1:50" ht="35.049999999999997" customHeight="1" x14ac:dyDescent="0.3">
      <c r="A19" s="10" t="s">
        <v>572</v>
      </c>
      <c r="B19" s="27" t="s">
        <v>1068</v>
      </c>
      <c r="C19" s="517">
        <v>4</v>
      </c>
      <c r="D19" s="441">
        <v>7.7569999999999997</v>
      </c>
      <c r="E19" s="442">
        <v>1.143</v>
      </c>
      <c r="F19" s="443">
        <v>0.23100000000000001</v>
      </c>
      <c r="G19" s="445">
        <v>0</v>
      </c>
      <c r="H19" s="445">
        <v>0</v>
      </c>
      <c r="I19" s="445">
        <v>0</v>
      </c>
      <c r="J19" s="446">
        <v>0</v>
      </c>
      <c r="K19" s="453"/>
      <c r="M19" s="3"/>
      <c r="N19" s="29"/>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row>
    <row r="20" spans="1:50" ht="35.049999999999997" customHeight="1" x14ac:dyDescent="0.3">
      <c r="A20" s="10" t="s">
        <v>750</v>
      </c>
      <c r="B20" s="24" t="s">
        <v>1211</v>
      </c>
      <c r="C20" s="517">
        <v>0</v>
      </c>
      <c r="D20" s="441">
        <v>5.8970000000000002</v>
      </c>
      <c r="E20" s="442">
        <v>0.84399999999999997</v>
      </c>
      <c r="F20" s="443">
        <v>0.16800000000000001</v>
      </c>
      <c r="G20" s="444">
        <v>14.29</v>
      </c>
      <c r="H20" s="444">
        <v>2.0699999999999998</v>
      </c>
      <c r="I20" s="447">
        <v>4.4000000000000004</v>
      </c>
      <c r="J20" s="448">
        <v>0.14699999999999999</v>
      </c>
      <c r="K20" s="453"/>
      <c r="M20" s="3"/>
      <c r="N20" s="29"/>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ht="35.049999999999997" customHeight="1" x14ac:dyDescent="0.3">
      <c r="A21" s="10" t="s">
        <v>751</v>
      </c>
      <c r="B21" s="26" t="s">
        <v>1069</v>
      </c>
      <c r="C21" s="517">
        <v>0</v>
      </c>
      <c r="D21" s="441">
        <v>5.8970000000000002</v>
      </c>
      <c r="E21" s="442">
        <v>0.84399999999999997</v>
      </c>
      <c r="F21" s="443">
        <v>0.16800000000000001</v>
      </c>
      <c r="G21" s="444">
        <v>308.26</v>
      </c>
      <c r="H21" s="444">
        <v>2.0699999999999998</v>
      </c>
      <c r="I21" s="447">
        <v>4.4000000000000004</v>
      </c>
      <c r="J21" s="448">
        <v>0.14699999999999999</v>
      </c>
      <c r="K21" s="453"/>
      <c r="M21" s="3"/>
      <c r="N21" s="29"/>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ht="35.049999999999997" customHeight="1" x14ac:dyDescent="0.3">
      <c r="A22" s="10" t="s">
        <v>752</v>
      </c>
      <c r="B22" s="26" t="s">
        <v>1070</v>
      </c>
      <c r="C22" s="517">
        <v>0</v>
      </c>
      <c r="D22" s="441">
        <v>5.8970000000000002</v>
      </c>
      <c r="E22" s="442">
        <v>0.84399999999999997</v>
      </c>
      <c r="F22" s="443">
        <v>0.16800000000000001</v>
      </c>
      <c r="G22" s="444">
        <v>681.82</v>
      </c>
      <c r="H22" s="444">
        <v>2.0699999999999998</v>
      </c>
      <c r="I22" s="447">
        <v>4.4000000000000004</v>
      </c>
      <c r="J22" s="448">
        <v>0.14699999999999999</v>
      </c>
      <c r="K22" s="453"/>
    </row>
    <row r="23" spans="1:50" ht="35.049999999999997" customHeight="1" x14ac:dyDescent="0.3">
      <c r="A23" s="10" t="s">
        <v>753</v>
      </c>
      <c r="B23" s="26" t="s">
        <v>1071</v>
      </c>
      <c r="C23" s="517">
        <v>0</v>
      </c>
      <c r="D23" s="441">
        <v>5.8970000000000002</v>
      </c>
      <c r="E23" s="442">
        <v>0.84399999999999997</v>
      </c>
      <c r="F23" s="443">
        <v>0.16800000000000001</v>
      </c>
      <c r="G23" s="444">
        <v>1039.06</v>
      </c>
      <c r="H23" s="444">
        <v>2.0699999999999998</v>
      </c>
      <c r="I23" s="447">
        <v>4.4000000000000004</v>
      </c>
      <c r="J23" s="448">
        <v>0.14699999999999999</v>
      </c>
      <c r="K23" s="453"/>
      <c r="M23" s="3"/>
    </row>
    <row r="24" spans="1:50" ht="35.049999999999997" customHeight="1" x14ac:dyDescent="0.3">
      <c r="A24" s="10" t="s">
        <v>754</v>
      </c>
      <c r="B24" s="26" t="s">
        <v>1072</v>
      </c>
      <c r="C24" s="517">
        <v>0</v>
      </c>
      <c r="D24" s="441">
        <v>5.8970000000000002</v>
      </c>
      <c r="E24" s="442">
        <v>0.84399999999999997</v>
      </c>
      <c r="F24" s="443">
        <v>0.16800000000000001</v>
      </c>
      <c r="G24" s="444">
        <v>2657.75</v>
      </c>
      <c r="H24" s="444">
        <v>2.0699999999999998</v>
      </c>
      <c r="I24" s="447">
        <v>4.4000000000000004</v>
      </c>
      <c r="J24" s="448">
        <v>0.14699999999999999</v>
      </c>
      <c r="K24" s="453"/>
      <c r="M24" s="3"/>
      <c r="N24" s="29"/>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35.049999999999997" customHeight="1" x14ac:dyDescent="0.3">
      <c r="A25" s="10" t="s">
        <v>755</v>
      </c>
      <c r="B25" s="392" t="s">
        <v>480</v>
      </c>
      <c r="C25" s="517">
        <v>0</v>
      </c>
      <c r="D25" s="441">
        <v>3.6840000000000002</v>
      </c>
      <c r="E25" s="442">
        <v>0.48</v>
      </c>
      <c r="F25" s="443">
        <v>0.09</v>
      </c>
      <c r="G25" s="444">
        <v>14.29</v>
      </c>
      <c r="H25" s="444">
        <v>2.81</v>
      </c>
      <c r="I25" s="447">
        <v>4.4000000000000004</v>
      </c>
      <c r="J25" s="448">
        <v>8.2000000000000003E-2</v>
      </c>
      <c r="K25" s="453"/>
    </row>
    <row r="26" spans="1:50" ht="35.049999999999997" customHeight="1" x14ac:dyDescent="0.3">
      <c r="A26" s="10" t="s">
        <v>756</v>
      </c>
      <c r="B26" s="392" t="s">
        <v>480</v>
      </c>
      <c r="C26" s="517">
        <v>0</v>
      </c>
      <c r="D26" s="441">
        <v>3.6840000000000002</v>
      </c>
      <c r="E26" s="442">
        <v>0.48</v>
      </c>
      <c r="F26" s="443">
        <v>0.09</v>
      </c>
      <c r="G26" s="444">
        <v>308.26</v>
      </c>
      <c r="H26" s="444">
        <v>2.81</v>
      </c>
      <c r="I26" s="447">
        <v>4.4000000000000004</v>
      </c>
      <c r="J26" s="448">
        <v>8.2000000000000003E-2</v>
      </c>
      <c r="K26" s="453"/>
      <c r="M26" s="3"/>
      <c r="N26" s="29"/>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1:50" ht="35.049999999999997" customHeight="1" x14ac:dyDescent="0.3">
      <c r="A27" s="10" t="s">
        <v>757</v>
      </c>
      <c r="B27" s="392" t="s">
        <v>480</v>
      </c>
      <c r="C27" s="517">
        <v>0</v>
      </c>
      <c r="D27" s="441">
        <v>3.6840000000000002</v>
      </c>
      <c r="E27" s="442">
        <v>0.48</v>
      </c>
      <c r="F27" s="443">
        <v>0.09</v>
      </c>
      <c r="G27" s="444">
        <v>681.82</v>
      </c>
      <c r="H27" s="444">
        <v>2.81</v>
      </c>
      <c r="I27" s="447">
        <v>4.4000000000000004</v>
      </c>
      <c r="J27" s="448">
        <v>8.2000000000000003E-2</v>
      </c>
      <c r="K27" s="453"/>
      <c r="M27" s="3"/>
      <c r="N27" s="29"/>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row>
    <row r="28" spans="1:50" ht="35.049999999999997" customHeight="1" x14ac:dyDescent="0.3">
      <c r="A28" s="10" t="s">
        <v>758</v>
      </c>
      <c r="B28" s="392" t="s">
        <v>480</v>
      </c>
      <c r="C28" s="517">
        <v>0</v>
      </c>
      <c r="D28" s="441">
        <v>3.6840000000000002</v>
      </c>
      <c r="E28" s="442">
        <v>0.48</v>
      </c>
      <c r="F28" s="443">
        <v>0.09</v>
      </c>
      <c r="G28" s="444">
        <v>1039.06</v>
      </c>
      <c r="H28" s="444">
        <v>2.81</v>
      </c>
      <c r="I28" s="447">
        <v>4.4000000000000004</v>
      </c>
      <c r="J28" s="448">
        <v>8.2000000000000003E-2</v>
      </c>
      <c r="K28" s="453"/>
      <c r="M28" s="3"/>
      <c r="N28" s="29"/>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row>
    <row r="29" spans="1:50" ht="35.049999999999997" customHeight="1" x14ac:dyDescent="0.3">
      <c r="A29" s="10" t="s">
        <v>759</v>
      </c>
      <c r="B29" s="392" t="s">
        <v>480</v>
      </c>
      <c r="C29" s="517">
        <v>0</v>
      </c>
      <c r="D29" s="441">
        <v>3.6840000000000002</v>
      </c>
      <c r="E29" s="442">
        <v>0.48</v>
      </c>
      <c r="F29" s="443">
        <v>0.09</v>
      </c>
      <c r="G29" s="444">
        <v>2657.75</v>
      </c>
      <c r="H29" s="444">
        <v>2.81</v>
      </c>
      <c r="I29" s="447">
        <v>4.4000000000000004</v>
      </c>
      <c r="J29" s="448">
        <v>8.2000000000000003E-2</v>
      </c>
      <c r="K29" s="453"/>
    </row>
    <row r="30" spans="1:50" ht="35.049999999999997" customHeight="1" x14ac:dyDescent="0.3">
      <c r="A30" s="10" t="s">
        <v>760</v>
      </c>
      <c r="B30" s="387" t="s">
        <v>1073</v>
      </c>
      <c r="C30" s="517">
        <v>0</v>
      </c>
      <c r="D30" s="441">
        <v>2.8530000000000002</v>
      </c>
      <c r="E30" s="442">
        <v>0.33400000000000002</v>
      </c>
      <c r="F30" s="443">
        <v>5.8000000000000003E-2</v>
      </c>
      <c r="G30" s="444">
        <v>170.15</v>
      </c>
      <c r="H30" s="444">
        <v>2.86</v>
      </c>
      <c r="I30" s="447">
        <v>4.84</v>
      </c>
      <c r="J30" s="448">
        <v>6.0999999999999999E-2</v>
      </c>
      <c r="K30" s="453"/>
    </row>
    <row r="31" spans="1:50" ht="35.049999999999997" customHeight="1" x14ac:dyDescent="0.3">
      <c r="A31" s="10" t="s">
        <v>761</v>
      </c>
      <c r="B31" s="26" t="s">
        <v>1074</v>
      </c>
      <c r="C31" s="517">
        <v>0</v>
      </c>
      <c r="D31" s="441">
        <v>2.8530000000000002</v>
      </c>
      <c r="E31" s="442">
        <v>0.33400000000000002</v>
      </c>
      <c r="F31" s="443">
        <v>5.8000000000000003E-2</v>
      </c>
      <c r="G31" s="444">
        <v>2295.37</v>
      </c>
      <c r="H31" s="444">
        <v>2.86</v>
      </c>
      <c r="I31" s="447">
        <v>4.84</v>
      </c>
      <c r="J31" s="448">
        <v>6.0999999999999999E-2</v>
      </c>
      <c r="K31" s="453"/>
    </row>
    <row r="32" spans="1:50" ht="35.049999999999997" customHeight="1" x14ac:dyDescent="0.3">
      <c r="A32" s="10" t="s">
        <v>762</v>
      </c>
      <c r="B32" s="26" t="s">
        <v>1075</v>
      </c>
      <c r="C32" s="517">
        <v>0</v>
      </c>
      <c r="D32" s="441">
        <v>2.8530000000000002</v>
      </c>
      <c r="E32" s="442">
        <v>0.33400000000000002</v>
      </c>
      <c r="F32" s="443">
        <v>5.8000000000000003E-2</v>
      </c>
      <c r="G32" s="444">
        <v>5674.24</v>
      </c>
      <c r="H32" s="444">
        <v>2.86</v>
      </c>
      <c r="I32" s="447">
        <v>4.84</v>
      </c>
      <c r="J32" s="448">
        <v>6.0999999999999999E-2</v>
      </c>
      <c r="K32" s="453"/>
    </row>
    <row r="33" spans="1:11" ht="35.049999999999997" customHeight="1" x14ac:dyDescent="0.3">
      <c r="A33" s="10" t="s">
        <v>763</v>
      </c>
      <c r="B33" s="26" t="s">
        <v>1076</v>
      </c>
      <c r="C33" s="517">
        <v>0</v>
      </c>
      <c r="D33" s="441">
        <v>2.8530000000000002</v>
      </c>
      <c r="E33" s="442">
        <v>0.33400000000000002</v>
      </c>
      <c r="F33" s="443">
        <v>5.8000000000000003E-2</v>
      </c>
      <c r="G33" s="444">
        <v>10228.85</v>
      </c>
      <c r="H33" s="444">
        <v>2.86</v>
      </c>
      <c r="I33" s="447">
        <v>4.84</v>
      </c>
      <c r="J33" s="448">
        <v>6.0999999999999999E-2</v>
      </c>
      <c r="K33" s="453"/>
    </row>
    <row r="34" spans="1:11" ht="35.049999999999997" customHeight="1" x14ac:dyDescent="0.3">
      <c r="A34" s="10" t="s">
        <v>764</v>
      </c>
      <c r="B34" s="26" t="s">
        <v>1077</v>
      </c>
      <c r="C34" s="517">
        <v>0</v>
      </c>
      <c r="D34" s="441">
        <v>2.8530000000000002</v>
      </c>
      <c r="E34" s="442">
        <v>0.33400000000000002</v>
      </c>
      <c r="F34" s="443">
        <v>5.8000000000000003E-2</v>
      </c>
      <c r="G34" s="444">
        <v>26851.63</v>
      </c>
      <c r="H34" s="444">
        <v>2.86</v>
      </c>
      <c r="I34" s="447">
        <v>4.84</v>
      </c>
      <c r="J34" s="448">
        <v>6.0999999999999999E-2</v>
      </c>
      <c r="K34" s="453"/>
    </row>
    <row r="35" spans="1:11" ht="35.049999999999997" customHeight="1" x14ac:dyDescent="0.3">
      <c r="A35" s="10" t="s">
        <v>573</v>
      </c>
      <c r="B35" s="387" t="s">
        <v>1078</v>
      </c>
      <c r="C35" s="517" t="s">
        <v>641</v>
      </c>
      <c r="D35" s="449">
        <v>18.780999999999999</v>
      </c>
      <c r="E35" s="450">
        <v>2.1629999999999998</v>
      </c>
      <c r="F35" s="451">
        <v>1.5009999999999999</v>
      </c>
      <c r="G35" s="445">
        <v>0</v>
      </c>
      <c r="H35" s="445">
        <v>0</v>
      </c>
      <c r="I35" s="445">
        <v>0</v>
      </c>
      <c r="J35" s="446">
        <v>0</v>
      </c>
      <c r="K35" s="453"/>
    </row>
    <row r="36" spans="1:11" ht="35.049999999999997" customHeight="1" x14ac:dyDescent="0.3">
      <c r="A36" s="10" t="s">
        <v>617</v>
      </c>
      <c r="B36" s="27" t="s">
        <v>1079</v>
      </c>
      <c r="C36" s="517">
        <v>0</v>
      </c>
      <c r="D36" s="441">
        <v>-5.234</v>
      </c>
      <c r="E36" s="442">
        <v>-0.77200000000000002</v>
      </c>
      <c r="F36" s="443">
        <v>-0.156</v>
      </c>
      <c r="G36" s="445">
        <v>0</v>
      </c>
      <c r="H36" s="445">
        <v>0</v>
      </c>
      <c r="I36" s="445">
        <v>0</v>
      </c>
      <c r="J36" s="446">
        <v>0</v>
      </c>
      <c r="K36" s="453"/>
    </row>
    <row r="37" spans="1:11" ht="35.049999999999997" customHeight="1" x14ac:dyDescent="0.3">
      <c r="A37" s="10" t="s">
        <v>682</v>
      </c>
      <c r="B37" s="392" t="s">
        <v>480</v>
      </c>
      <c r="C37" s="517">
        <v>0</v>
      </c>
      <c r="D37" s="441">
        <v>-4.7229999999999999</v>
      </c>
      <c r="E37" s="442">
        <v>-0.68600000000000005</v>
      </c>
      <c r="F37" s="443">
        <v>-0.13800000000000001</v>
      </c>
      <c r="G37" s="445">
        <v>0</v>
      </c>
      <c r="H37" s="445">
        <v>0</v>
      </c>
      <c r="I37" s="445">
        <v>0</v>
      </c>
      <c r="J37" s="446">
        <v>0</v>
      </c>
      <c r="K37" s="453"/>
    </row>
    <row r="38" spans="1:11" ht="35.049999999999997" customHeight="1" x14ac:dyDescent="0.3">
      <c r="A38" s="10" t="s">
        <v>597</v>
      </c>
      <c r="B38" s="27" t="s">
        <v>1080</v>
      </c>
      <c r="C38" s="517">
        <v>0</v>
      </c>
      <c r="D38" s="441">
        <v>-5.234</v>
      </c>
      <c r="E38" s="442">
        <v>-0.77200000000000002</v>
      </c>
      <c r="F38" s="443">
        <v>-0.156</v>
      </c>
      <c r="G38" s="445">
        <v>0</v>
      </c>
      <c r="H38" s="445">
        <v>0</v>
      </c>
      <c r="I38" s="445">
        <v>0</v>
      </c>
      <c r="J38" s="448">
        <v>0.11799999999999999</v>
      </c>
      <c r="K38" s="453"/>
    </row>
    <row r="39" spans="1:11" ht="35.049999999999997" customHeight="1" x14ac:dyDescent="0.3">
      <c r="A39" s="10" t="s">
        <v>683</v>
      </c>
      <c r="B39" s="392" t="s">
        <v>480</v>
      </c>
      <c r="C39" s="517">
        <v>0</v>
      </c>
      <c r="D39" s="441">
        <v>-5.234</v>
      </c>
      <c r="E39" s="442">
        <v>-0.77200000000000002</v>
      </c>
      <c r="F39" s="443">
        <v>-0.156</v>
      </c>
      <c r="G39" s="445">
        <v>0</v>
      </c>
      <c r="H39" s="445">
        <v>0</v>
      </c>
      <c r="I39" s="445">
        <v>0</v>
      </c>
      <c r="J39" s="446">
        <v>0</v>
      </c>
      <c r="K39" s="453"/>
    </row>
    <row r="40" spans="1:11" ht="35.049999999999997" customHeight="1" x14ac:dyDescent="0.3">
      <c r="A40" s="10" t="s">
        <v>684</v>
      </c>
      <c r="B40" s="392" t="s">
        <v>480</v>
      </c>
      <c r="C40" s="517">
        <v>0</v>
      </c>
      <c r="D40" s="441">
        <v>-4.7229999999999999</v>
      </c>
      <c r="E40" s="442">
        <v>-0.68600000000000005</v>
      </c>
      <c r="F40" s="443">
        <v>-0.13800000000000001</v>
      </c>
      <c r="G40" s="445">
        <v>0</v>
      </c>
      <c r="H40" s="445">
        <v>0</v>
      </c>
      <c r="I40" s="445">
        <v>0</v>
      </c>
      <c r="J40" s="448">
        <v>0.113</v>
      </c>
      <c r="K40" s="453"/>
    </row>
    <row r="41" spans="1:11" ht="35.049999999999997" customHeight="1" x14ac:dyDescent="0.3">
      <c r="A41" s="10" t="s">
        <v>685</v>
      </c>
      <c r="B41" s="392" t="s">
        <v>480</v>
      </c>
      <c r="C41" s="517">
        <v>0</v>
      </c>
      <c r="D41" s="441">
        <v>-4.7229999999999999</v>
      </c>
      <c r="E41" s="442">
        <v>-0.68600000000000005</v>
      </c>
      <c r="F41" s="443">
        <v>-0.13800000000000001</v>
      </c>
      <c r="G41" s="445">
        <v>0</v>
      </c>
      <c r="H41" s="445">
        <v>0</v>
      </c>
      <c r="I41" s="445">
        <v>0</v>
      </c>
      <c r="J41" s="446">
        <v>0</v>
      </c>
      <c r="K41" s="453"/>
    </row>
    <row r="42" spans="1:11" ht="35.049999999999997" customHeight="1" x14ac:dyDescent="0.3">
      <c r="A42" s="10" t="s">
        <v>598</v>
      </c>
      <c r="B42" s="26" t="s">
        <v>1081</v>
      </c>
      <c r="C42" s="517">
        <v>0</v>
      </c>
      <c r="D42" s="441">
        <v>-3.157</v>
      </c>
      <c r="E42" s="442">
        <v>-0.40600000000000003</v>
      </c>
      <c r="F42" s="443">
        <v>-7.5999999999999998E-2</v>
      </c>
      <c r="G42" s="444">
        <v>106.5</v>
      </c>
      <c r="H42" s="445">
        <v>0</v>
      </c>
      <c r="I42" s="445">
        <v>0</v>
      </c>
      <c r="J42" s="448">
        <v>0.09</v>
      </c>
      <c r="K42" s="453"/>
    </row>
    <row r="43" spans="1:11" ht="35.049999999999997" customHeight="1" x14ac:dyDescent="0.3">
      <c r="A43" s="10" t="s">
        <v>681</v>
      </c>
      <c r="B43" s="392" t="s">
        <v>480</v>
      </c>
      <c r="C43" s="517">
        <v>0</v>
      </c>
      <c r="D43" s="441">
        <v>-3.157</v>
      </c>
      <c r="E43" s="442">
        <v>-0.40600000000000003</v>
      </c>
      <c r="F43" s="443">
        <v>-7.5999999999999998E-2</v>
      </c>
      <c r="G43" s="444">
        <v>106.5</v>
      </c>
      <c r="H43" s="445">
        <v>0</v>
      </c>
      <c r="I43" s="445">
        <v>0</v>
      </c>
      <c r="J43" s="446">
        <v>0</v>
      </c>
      <c r="K43" s="453"/>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phoneticPr fontId="6" type="noConversion"/>
  <hyperlinks>
    <hyperlink ref="A1" location="Overview!A1" display="Back to Overview" xr:uid="{00000000-0004-0000-06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3"/>
  <sheetViews>
    <sheetView zoomScale="50" zoomScaleNormal="50" workbookViewId="0">
      <selection activeCell="C10" sqref="C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4" ht="40" customHeight="1" x14ac:dyDescent="0.3">
      <c r="A1" s="56" t="s">
        <v>19</v>
      </c>
      <c r="B1" s="41"/>
      <c r="C1" s="41"/>
      <c r="D1" s="41"/>
    </row>
    <row r="2" spans="1:14" ht="40" customHeight="1" x14ac:dyDescent="0.3">
      <c r="A2" s="552" t="str">
        <f>Overview!B4&amp;" - Effective from "&amp;Overview!D4&amp;" - Final LV and HV charges in Electricity North West Area (GSP Group _G)"</f>
        <v>Indigo Power Limited - Effective from 1 April 2023 - Final LV and HV charges in Electricity North West Area (GSP Group _G)</v>
      </c>
      <c r="B2" s="552"/>
      <c r="C2" s="552"/>
      <c r="D2" s="552"/>
      <c r="E2" s="552"/>
      <c r="F2" s="552"/>
      <c r="G2" s="552"/>
      <c r="H2" s="552"/>
      <c r="I2" s="552"/>
      <c r="J2" s="552"/>
      <c r="K2" s="552"/>
    </row>
    <row r="3" spans="1:14" s="47" customFormat="1" ht="40" customHeight="1" x14ac:dyDescent="0.3">
      <c r="A3" s="45"/>
      <c r="B3" s="45"/>
      <c r="C3" s="45"/>
      <c r="D3" s="45"/>
      <c r="E3" s="45"/>
      <c r="F3" s="45"/>
      <c r="G3" s="45"/>
      <c r="H3" s="45"/>
      <c r="I3" s="45"/>
      <c r="J3" s="45"/>
      <c r="K3" s="45"/>
      <c r="L3" s="46"/>
      <c r="M3" s="46"/>
    </row>
    <row r="4" spans="1:14" ht="40" customHeight="1" x14ac:dyDescent="0.3">
      <c r="A4" s="552" t="s">
        <v>308</v>
      </c>
      <c r="B4" s="552"/>
      <c r="C4" s="552"/>
      <c r="D4" s="552"/>
      <c r="E4" s="552"/>
      <c r="F4" s="45"/>
      <c r="G4" s="552" t="s">
        <v>307</v>
      </c>
      <c r="H4" s="552"/>
      <c r="I4" s="552"/>
      <c r="J4" s="552"/>
      <c r="K4" s="552"/>
    </row>
    <row r="5" spans="1:14" ht="40" customHeight="1" x14ac:dyDescent="0.3">
      <c r="A5" s="468" t="s">
        <v>13</v>
      </c>
      <c r="B5" s="281" t="s">
        <v>299</v>
      </c>
      <c r="C5" s="547" t="s">
        <v>300</v>
      </c>
      <c r="D5" s="548"/>
      <c r="E5" s="42" t="s">
        <v>301</v>
      </c>
      <c r="F5" s="45"/>
      <c r="G5" s="549"/>
      <c r="H5" s="550"/>
      <c r="I5" s="43" t="s">
        <v>305</v>
      </c>
      <c r="J5" s="44" t="s">
        <v>306</v>
      </c>
      <c r="K5" s="42" t="s">
        <v>301</v>
      </c>
      <c r="L5" s="45"/>
      <c r="N5" s="3"/>
    </row>
    <row r="6" spans="1:14" ht="40" customHeight="1" x14ac:dyDescent="0.3">
      <c r="A6" s="105" t="s">
        <v>601</v>
      </c>
      <c r="B6" s="13" t="s">
        <v>467</v>
      </c>
      <c r="C6" s="568" t="s">
        <v>642</v>
      </c>
      <c r="D6" s="568" t="s">
        <v>603</v>
      </c>
      <c r="E6" s="13" t="s">
        <v>643</v>
      </c>
      <c r="F6" s="45" t="s">
        <v>603</v>
      </c>
      <c r="G6" s="537" t="s">
        <v>607</v>
      </c>
      <c r="H6" s="538" t="s">
        <v>603</v>
      </c>
      <c r="I6" s="274" t="s">
        <v>603</v>
      </c>
      <c r="J6" s="279" t="s">
        <v>644</v>
      </c>
      <c r="K6" s="86" t="s">
        <v>643</v>
      </c>
      <c r="L6" s="45"/>
      <c r="N6" s="3"/>
    </row>
    <row r="7" spans="1:14" ht="40" customHeight="1" x14ac:dyDescent="0.3">
      <c r="A7" s="105" t="s">
        <v>605</v>
      </c>
      <c r="B7" s="274" t="s">
        <v>603</v>
      </c>
      <c r="C7" s="576" t="s">
        <v>467</v>
      </c>
      <c r="D7" s="576" t="s">
        <v>603</v>
      </c>
      <c r="E7" s="13" t="s">
        <v>645</v>
      </c>
      <c r="F7" s="45" t="s">
        <v>603</v>
      </c>
      <c r="G7" s="537" t="s">
        <v>303</v>
      </c>
      <c r="H7" s="538" t="s">
        <v>603</v>
      </c>
      <c r="I7" s="13" t="s">
        <v>467</v>
      </c>
      <c r="J7" s="279" t="s">
        <v>646</v>
      </c>
      <c r="K7" s="86" t="s">
        <v>643</v>
      </c>
      <c r="L7" s="45"/>
      <c r="N7" s="3"/>
    </row>
    <row r="8" spans="1:14" ht="40" customHeight="1" x14ac:dyDescent="0.3">
      <c r="A8" s="465" t="s">
        <v>14</v>
      </c>
      <c r="B8" s="537" t="s">
        <v>15</v>
      </c>
      <c r="C8" s="546" t="s">
        <v>603</v>
      </c>
      <c r="D8" s="546" t="s">
        <v>603</v>
      </c>
      <c r="E8" s="538" t="s">
        <v>603</v>
      </c>
      <c r="F8" s="45" t="s">
        <v>603</v>
      </c>
      <c r="G8" s="537" t="s">
        <v>626</v>
      </c>
      <c r="H8" s="538" t="s">
        <v>603</v>
      </c>
      <c r="I8" s="274" t="s">
        <v>603</v>
      </c>
      <c r="J8" s="13" t="s">
        <v>467</v>
      </c>
      <c r="K8" s="86" t="s">
        <v>645</v>
      </c>
      <c r="L8" s="45"/>
      <c r="N8" s="3"/>
    </row>
    <row r="9" spans="1:14" s="47" customFormat="1" ht="40" customHeight="1" x14ac:dyDescent="0.3">
      <c r="A9" s="45" t="s">
        <v>603</v>
      </c>
      <c r="B9" s="45" t="s">
        <v>603</v>
      </c>
      <c r="C9" s="45" t="s">
        <v>603</v>
      </c>
      <c r="D9" s="45" t="s">
        <v>603</v>
      </c>
      <c r="E9" s="45" t="s">
        <v>603</v>
      </c>
      <c r="F9" s="45" t="s">
        <v>603</v>
      </c>
      <c r="G9" s="569" t="s">
        <v>14</v>
      </c>
      <c r="H9" s="569" t="s">
        <v>26</v>
      </c>
      <c r="I9" s="537" t="s">
        <v>15</v>
      </c>
      <c r="J9" s="546" t="s">
        <v>270</v>
      </c>
      <c r="K9" s="538" t="s">
        <v>0</v>
      </c>
      <c r="L9" s="46"/>
      <c r="M9" s="46"/>
    </row>
    <row r="10" spans="1:14" s="47" customFormat="1" ht="40" customHeight="1" x14ac:dyDescent="0.3">
      <c r="A10" s="45"/>
      <c r="B10" s="45"/>
      <c r="C10" s="518" t="s">
        <v>480</v>
      </c>
      <c r="D10" s="45"/>
      <c r="E10" s="45"/>
      <c r="F10" s="45"/>
      <c r="G10" s="45"/>
      <c r="H10" s="45"/>
      <c r="I10" s="45"/>
      <c r="J10" s="45"/>
      <c r="K10" s="45"/>
      <c r="L10" s="46"/>
      <c r="M10" s="46"/>
    </row>
    <row r="11" spans="1:14"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4" ht="35.049999999999997" customHeight="1" x14ac:dyDescent="0.3">
      <c r="A12" s="10" t="s">
        <v>570</v>
      </c>
      <c r="B12" s="387" t="s">
        <v>1042</v>
      </c>
      <c r="C12" s="375" t="s">
        <v>574</v>
      </c>
      <c r="D12" s="501">
        <v>10.266</v>
      </c>
      <c r="E12" s="502">
        <v>2.1360000000000001</v>
      </c>
      <c r="F12" s="503">
        <v>0.19</v>
      </c>
      <c r="G12" s="489">
        <v>14.89</v>
      </c>
      <c r="H12" s="490"/>
      <c r="I12" s="490"/>
      <c r="J12" s="500"/>
      <c r="K12" s="26"/>
    </row>
    <row r="13" spans="1:14" ht="35.049999999999997" customHeight="1" x14ac:dyDescent="0.3">
      <c r="A13" s="10" t="s">
        <v>571</v>
      </c>
      <c r="B13" s="387" t="s">
        <v>1043</v>
      </c>
      <c r="C13" s="375" t="s">
        <v>575</v>
      </c>
      <c r="D13" s="501">
        <v>10.266</v>
      </c>
      <c r="E13" s="502">
        <v>2.1360000000000001</v>
      </c>
      <c r="F13" s="503">
        <v>0.19</v>
      </c>
      <c r="G13" s="490"/>
      <c r="H13" s="490"/>
      <c r="I13" s="490"/>
      <c r="J13" s="500"/>
      <c r="K13" s="26"/>
    </row>
    <row r="14" spans="1:14" ht="35.049999999999997" customHeight="1" x14ac:dyDescent="0.3">
      <c r="A14" s="10" t="s">
        <v>745</v>
      </c>
      <c r="B14" s="387" t="s">
        <v>1044</v>
      </c>
      <c r="C14" s="375" t="s">
        <v>576</v>
      </c>
      <c r="D14" s="501">
        <v>10.43</v>
      </c>
      <c r="E14" s="502">
        <v>2.17</v>
      </c>
      <c r="F14" s="503">
        <v>0.193</v>
      </c>
      <c r="G14" s="489">
        <v>5.63</v>
      </c>
      <c r="H14" s="490"/>
      <c r="I14" s="490"/>
      <c r="J14" s="500"/>
      <c r="K14" s="26"/>
    </row>
    <row r="15" spans="1:14" ht="35.049999999999997" customHeight="1" x14ac:dyDescent="0.3">
      <c r="A15" s="10" t="s">
        <v>746</v>
      </c>
      <c r="B15" s="387" t="s">
        <v>1045</v>
      </c>
      <c r="C15" s="436" t="s">
        <v>930</v>
      </c>
      <c r="D15" s="501">
        <v>10.43</v>
      </c>
      <c r="E15" s="502">
        <v>2.17</v>
      </c>
      <c r="F15" s="503">
        <v>0.193</v>
      </c>
      <c r="G15" s="489">
        <v>8.73</v>
      </c>
      <c r="H15" s="490"/>
      <c r="I15" s="490"/>
      <c r="J15" s="500"/>
      <c r="K15" s="26"/>
    </row>
    <row r="16" spans="1:14" ht="35.049999999999997" customHeight="1" x14ac:dyDescent="0.3">
      <c r="A16" s="10" t="s">
        <v>747</v>
      </c>
      <c r="B16" s="27" t="s">
        <v>1046</v>
      </c>
      <c r="C16" s="436" t="s">
        <v>930</v>
      </c>
      <c r="D16" s="501">
        <v>10.43</v>
      </c>
      <c r="E16" s="502">
        <v>2.17</v>
      </c>
      <c r="F16" s="503">
        <v>0.193</v>
      </c>
      <c r="G16" s="489">
        <v>20.94</v>
      </c>
      <c r="H16" s="490"/>
      <c r="I16" s="490"/>
      <c r="J16" s="500"/>
      <c r="K16" s="26"/>
    </row>
    <row r="17" spans="1:14" ht="35.049999999999997" customHeight="1" x14ac:dyDescent="0.3">
      <c r="A17" s="10" t="s">
        <v>748</v>
      </c>
      <c r="B17" s="27" t="s">
        <v>1047</v>
      </c>
      <c r="C17" s="436" t="s">
        <v>930</v>
      </c>
      <c r="D17" s="501">
        <v>10.43</v>
      </c>
      <c r="E17" s="502">
        <v>2.17</v>
      </c>
      <c r="F17" s="503">
        <v>0.193</v>
      </c>
      <c r="G17" s="489">
        <v>43.57</v>
      </c>
      <c r="H17" s="490"/>
      <c r="I17" s="490"/>
      <c r="J17" s="500"/>
      <c r="K17" s="26"/>
    </row>
    <row r="18" spans="1:14" ht="35.049999999999997" customHeight="1" x14ac:dyDescent="0.3">
      <c r="A18" s="10" t="s">
        <v>749</v>
      </c>
      <c r="B18" s="27" t="s">
        <v>1048</v>
      </c>
      <c r="C18" s="436" t="s">
        <v>930</v>
      </c>
      <c r="D18" s="501">
        <v>10.43</v>
      </c>
      <c r="E18" s="502">
        <v>2.17</v>
      </c>
      <c r="F18" s="503">
        <v>0.193</v>
      </c>
      <c r="G18" s="489">
        <v>123.8</v>
      </c>
      <c r="H18" s="490"/>
      <c r="I18" s="490"/>
      <c r="J18" s="500"/>
      <c r="K18" s="26"/>
    </row>
    <row r="19" spans="1:14" ht="35.049999999999997" customHeight="1" x14ac:dyDescent="0.3">
      <c r="A19" s="10" t="s">
        <v>572</v>
      </c>
      <c r="B19" s="27" t="s">
        <v>1049</v>
      </c>
      <c r="C19" s="391" t="s">
        <v>577</v>
      </c>
      <c r="D19" s="501">
        <v>10.43</v>
      </c>
      <c r="E19" s="502">
        <v>2.17</v>
      </c>
      <c r="F19" s="503">
        <v>0.193</v>
      </c>
      <c r="G19" s="490"/>
      <c r="H19" s="490"/>
      <c r="I19" s="490"/>
      <c r="J19" s="500"/>
      <c r="K19" s="26"/>
    </row>
    <row r="20" spans="1:14" ht="35.049999999999997" customHeight="1" x14ac:dyDescent="0.3">
      <c r="A20" s="10" t="s">
        <v>750</v>
      </c>
      <c r="B20" s="24" t="s">
        <v>1212</v>
      </c>
      <c r="C20" s="395">
        <v>0</v>
      </c>
      <c r="D20" s="501">
        <v>7.4560000000000004</v>
      </c>
      <c r="E20" s="502">
        <v>1.4319999999999999</v>
      </c>
      <c r="F20" s="503">
        <v>0.13100000000000001</v>
      </c>
      <c r="G20" s="489">
        <v>22.55</v>
      </c>
      <c r="H20" s="489">
        <v>3.71</v>
      </c>
      <c r="I20" s="396">
        <v>5.46</v>
      </c>
      <c r="J20" s="499">
        <v>0.14899999999999999</v>
      </c>
      <c r="K20" s="26"/>
    </row>
    <row r="21" spans="1:14" ht="35.049999999999997" customHeight="1" x14ac:dyDescent="0.3">
      <c r="A21" s="10" t="s">
        <v>751</v>
      </c>
      <c r="B21" s="26" t="s">
        <v>1050</v>
      </c>
      <c r="C21" s="395">
        <v>0</v>
      </c>
      <c r="D21" s="501">
        <v>7.4560000000000004</v>
      </c>
      <c r="E21" s="502">
        <v>1.4319999999999999</v>
      </c>
      <c r="F21" s="503">
        <v>0.13100000000000001</v>
      </c>
      <c r="G21" s="489">
        <v>177.91</v>
      </c>
      <c r="H21" s="489">
        <v>3.71</v>
      </c>
      <c r="I21" s="396">
        <v>5.46</v>
      </c>
      <c r="J21" s="499">
        <v>0.14899999999999999</v>
      </c>
      <c r="K21" s="26"/>
    </row>
    <row r="22" spans="1:14" ht="35.049999999999997" customHeight="1" x14ac:dyDescent="0.3">
      <c r="A22" s="10" t="s">
        <v>752</v>
      </c>
      <c r="B22" s="26" t="s">
        <v>1051</v>
      </c>
      <c r="C22" s="395">
        <v>0</v>
      </c>
      <c r="D22" s="501">
        <v>7.4560000000000004</v>
      </c>
      <c r="E22" s="502">
        <v>1.4319999999999999</v>
      </c>
      <c r="F22" s="503">
        <v>0.13100000000000001</v>
      </c>
      <c r="G22" s="489">
        <v>409.96</v>
      </c>
      <c r="H22" s="489">
        <v>3.71</v>
      </c>
      <c r="I22" s="396">
        <v>5.46</v>
      </c>
      <c r="J22" s="499">
        <v>0.14899999999999999</v>
      </c>
      <c r="K22" s="26"/>
    </row>
    <row r="23" spans="1:14" ht="35.049999999999997" customHeight="1" x14ac:dyDescent="0.3">
      <c r="A23" s="10" t="s">
        <v>753</v>
      </c>
      <c r="B23" s="26" t="s">
        <v>1052</v>
      </c>
      <c r="C23" s="395">
        <v>0</v>
      </c>
      <c r="D23" s="501">
        <v>7.4560000000000004</v>
      </c>
      <c r="E23" s="502">
        <v>1.4319999999999999</v>
      </c>
      <c r="F23" s="503">
        <v>0.13100000000000001</v>
      </c>
      <c r="G23" s="489">
        <v>654.44000000000005</v>
      </c>
      <c r="H23" s="489">
        <v>3.71</v>
      </c>
      <c r="I23" s="396">
        <v>5.46</v>
      </c>
      <c r="J23" s="499">
        <v>0.14899999999999999</v>
      </c>
      <c r="K23" s="26"/>
    </row>
    <row r="24" spans="1:14" ht="35.049999999999997" customHeight="1" x14ac:dyDescent="0.3">
      <c r="A24" s="10" t="s">
        <v>754</v>
      </c>
      <c r="B24" s="26" t="s">
        <v>1053</v>
      </c>
      <c r="C24" s="395">
        <v>0</v>
      </c>
      <c r="D24" s="501">
        <v>7.4560000000000004</v>
      </c>
      <c r="E24" s="502">
        <v>1.4319999999999999</v>
      </c>
      <c r="F24" s="503">
        <v>0.13100000000000001</v>
      </c>
      <c r="G24" s="489">
        <v>1349.19</v>
      </c>
      <c r="H24" s="489">
        <v>3.71</v>
      </c>
      <c r="I24" s="396">
        <v>5.46</v>
      </c>
      <c r="J24" s="499">
        <v>0.14899999999999999</v>
      </c>
      <c r="K24" s="26"/>
    </row>
    <row r="25" spans="1:14" ht="35.049999999999997" customHeight="1" x14ac:dyDescent="0.3">
      <c r="A25" s="10" t="s">
        <v>755</v>
      </c>
      <c r="B25" s="392" t="s">
        <v>480</v>
      </c>
      <c r="C25" s="395">
        <v>0</v>
      </c>
      <c r="D25" s="501">
        <v>5.9930000000000003</v>
      </c>
      <c r="E25" s="502">
        <v>1.052</v>
      </c>
      <c r="F25" s="503">
        <v>9.9000000000000005E-2</v>
      </c>
      <c r="G25" s="489">
        <v>72.52</v>
      </c>
      <c r="H25" s="489">
        <v>3.83</v>
      </c>
      <c r="I25" s="396">
        <v>6.3</v>
      </c>
      <c r="J25" s="499">
        <v>0.107</v>
      </c>
      <c r="K25" s="26"/>
    </row>
    <row r="26" spans="1:14" ht="35.049999999999997" customHeight="1" x14ac:dyDescent="0.3">
      <c r="A26" s="10" t="s">
        <v>756</v>
      </c>
      <c r="B26" s="392" t="s">
        <v>480</v>
      </c>
      <c r="C26" s="395">
        <v>0</v>
      </c>
      <c r="D26" s="501">
        <v>5.9930000000000003</v>
      </c>
      <c r="E26" s="502">
        <v>1.052</v>
      </c>
      <c r="F26" s="503">
        <v>9.9000000000000005E-2</v>
      </c>
      <c r="G26" s="489">
        <v>227.89</v>
      </c>
      <c r="H26" s="489">
        <v>3.83</v>
      </c>
      <c r="I26" s="396">
        <v>6.3</v>
      </c>
      <c r="J26" s="499">
        <v>0.107</v>
      </c>
      <c r="K26" s="26"/>
      <c r="N26" s="3"/>
    </row>
    <row r="27" spans="1:14" ht="35.049999999999997" customHeight="1" x14ac:dyDescent="0.3">
      <c r="A27" s="10" t="s">
        <v>757</v>
      </c>
      <c r="B27" s="392" t="s">
        <v>480</v>
      </c>
      <c r="C27" s="395">
        <v>0</v>
      </c>
      <c r="D27" s="501">
        <v>5.9930000000000003</v>
      </c>
      <c r="E27" s="502">
        <v>1.052</v>
      </c>
      <c r="F27" s="503">
        <v>9.9000000000000005E-2</v>
      </c>
      <c r="G27" s="489">
        <v>459.94</v>
      </c>
      <c r="H27" s="489">
        <v>3.83</v>
      </c>
      <c r="I27" s="396">
        <v>6.3</v>
      </c>
      <c r="J27" s="499">
        <v>0.107</v>
      </c>
      <c r="K27" s="26"/>
      <c r="N27" s="3"/>
    </row>
    <row r="28" spans="1:14" ht="35.049999999999997" customHeight="1" x14ac:dyDescent="0.3">
      <c r="A28" s="10" t="s">
        <v>758</v>
      </c>
      <c r="B28" s="392" t="s">
        <v>480</v>
      </c>
      <c r="C28" s="395">
        <v>0</v>
      </c>
      <c r="D28" s="501">
        <v>5.9930000000000003</v>
      </c>
      <c r="E28" s="502">
        <v>1.052</v>
      </c>
      <c r="F28" s="503">
        <v>9.9000000000000005E-2</v>
      </c>
      <c r="G28" s="489">
        <v>704.41</v>
      </c>
      <c r="H28" s="489">
        <v>3.83</v>
      </c>
      <c r="I28" s="396">
        <v>6.3</v>
      </c>
      <c r="J28" s="499">
        <v>0.107</v>
      </c>
      <c r="K28" s="26"/>
    </row>
    <row r="29" spans="1:14" ht="35.049999999999997" customHeight="1" x14ac:dyDescent="0.3">
      <c r="A29" s="10" t="s">
        <v>759</v>
      </c>
      <c r="B29" s="392" t="s">
        <v>480</v>
      </c>
      <c r="C29" s="395">
        <v>0</v>
      </c>
      <c r="D29" s="501">
        <v>5.9930000000000003</v>
      </c>
      <c r="E29" s="502">
        <v>1.052</v>
      </c>
      <c r="F29" s="503">
        <v>9.9000000000000005E-2</v>
      </c>
      <c r="G29" s="489">
        <v>1399.17</v>
      </c>
      <c r="H29" s="489">
        <v>3.83</v>
      </c>
      <c r="I29" s="396">
        <v>6.3</v>
      </c>
      <c r="J29" s="499">
        <v>0.107</v>
      </c>
      <c r="K29" s="26"/>
    </row>
    <row r="30" spans="1:14" ht="35.049999999999997" customHeight="1" x14ac:dyDescent="0.3">
      <c r="A30" s="10" t="s">
        <v>760</v>
      </c>
      <c r="B30" s="387" t="s">
        <v>1054</v>
      </c>
      <c r="C30" s="395">
        <v>0</v>
      </c>
      <c r="D30" s="501">
        <v>4.2480000000000002</v>
      </c>
      <c r="E30" s="502">
        <v>0.63200000000000001</v>
      </c>
      <c r="F30" s="503">
        <v>6.3E-2</v>
      </c>
      <c r="G30" s="489">
        <v>159.34</v>
      </c>
      <c r="H30" s="489">
        <v>3.76</v>
      </c>
      <c r="I30" s="396">
        <v>6.53</v>
      </c>
      <c r="J30" s="499">
        <v>6.4000000000000001E-2</v>
      </c>
      <c r="K30" s="26"/>
    </row>
    <row r="31" spans="1:14" ht="35.049999999999997" customHeight="1" x14ac:dyDescent="0.3">
      <c r="A31" s="10" t="s">
        <v>761</v>
      </c>
      <c r="B31" s="26" t="s">
        <v>1055</v>
      </c>
      <c r="C31" s="395">
        <v>0</v>
      </c>
      <c r="D31" s="501">
        <v>4.2480000000000002</v>
      </c>
      <c r="E31" s="502">
        <v>0.63200000000000001</v>
      </c>
      <c r="F31" s="503">
        <v>6.3E-2</v>
      </c>
      <c r="G31" s="489">
        <v>1150.21</v>
      </c>
      <c r="H31" s="489">
        <v>3.76</v>
      </c>
      <c r="I31" s="396">
        <v>6.53</v>
      </c>
      <c r="J31" s="499">
        <v>6.4000000000000001E-2</v>
      </c>
      <c r="K31" s="26"/>
    </row>
    <row r="32" spans="1:14" ht="35.049999999999997" customHeight="1" x14ac:dyDescent="0.3">
      <c r="A32" s="10" t="s">
        <v>762</v>
      </c>
      <c r="B32" s="26" t="s">
        <v>1056</v>
      </c>
      <c r="C32" s="395">
        <v>0</v>
      </c>
      <c r="D32" s="501">
        <v>4.2480000000000002</v>
      </c>
      <c r="E32" s="502">
        <v>0.63200000000000001</v>
      </c>
      <c r="F32" s="503">
        <v>6.3E-2</v>
      </c>
      <c r="G32" s="489">
        <v>3398.23</v>
      </c>
      <c r="H32" s="489">
        <v>3.76</v>
      </c>
      <c r="I32" s="396">
        <v>6.53</v>
      </c>
      <c r="J32" s="499">
        <v>6.4000000000000001E-2</v>
      </c>
      <c r="K32" s="26"/>
    </row>
    <row r="33" spans="1:11" ht="35.049999999999997" customHeight="1" x14ac:dyDescent="0.3">
      <c r="A33" s="10" t="s">
        <v>763</v>
      </c>
      <c r="B33" s="26" t="s">
        <v>1057</v>
      </c>
      <c r="C33" s="395">
        <v>0</v>
      </c>
      <c r="D33" s="501">
        <v>4.2480000000000002</v>
      </c>
      <c r="E33" s="502">
        <v>0.63200000000000001</v>
      </c>
      <c r="F33" s="503">
        <v>6.3E-2</v>
      </c>
      <c r="G33" s="489">
        <v>6948.84</v>
      </c>
      <c r="H33" s="489">
        <v>3.76</v>
      </c>
      <c r="I33" s="396">
        <v>6.53</v>
      </c>
      <c r="J33" s="499">
        <v>6.4000000000000001E-2</v>
      </c>
      <c r="K33" s="26"/>
    </row>
    <row r="34" spans="1:11" ht="35.049999999999997" customHeight="1" x14ac:dyDescent="0.3">
      <c r="A34" s="10" t="s">
        <v>764</v>
      </c>
      <c r="B34" s="26" t="s">
        <v>1058</v>
      </c>
      <c r="C34" s="395">
        <v>0</v>
      </c>
      <c r="D34" s="501">
        <v>4.2480000000000002</v>
      </c>
      <c r="E34" s="502">
        <v>0.63200000000000001</v>
      </c>
      <c r="F34" s="503">
        <v>6.3E-2</v>
      </c>
      <c r="G34" s="489">
        <v>15992.62</v>
      </c>
      <c r="H34" s="489">
        <v>3.76</v>
      </c>
      <c r="I34" s="396">
        <v>6.53</v>
      </c>
      <c r="J34" s="499">
        <v>6.4000000000000001E-2</v>
      </c>
      <c r="K34" s="26"/>
    </row>
    <row r="35" spans="1:11" ht="35.049999999999997" customHeight="1" x14ac:dyDescent="0.3">
      <c r="A35" s="10" t="s">
        <v>573</v>
      </c>
      <c r="B35" s="387" t="s">
        <v>1059</v>
      </c>
      <c r="C35" s="395" t="s">
        <v>616</v>
      </c>
      <c r="D35" s="504">
        <v>23.216999999999999</v>
      </c>
      <c r="E35" s="505">
        <v>4.9260000000000002</v>
      </c>
      <c r="F35" s="503">
        <v>3.6579999999999999</v>
      </c>
      <c r="G35" s="490"/>
      <c r="H35" s="490"/>
      <c r="I35" s="490"/>
      <c r="J35" s="500"/>
      <c r="K35" s="26"/>
    </row>
    <row r="36" spans="1:11" ht="35.049999999999997" customHeight="1" x14ac:dyDescent="0.3">
      <c r="A36" s="10" t="s">
        <v>617</v>
      </c>
      <c r="B36" s="27" t="s">
        <v>1060</v>
      </c>
      <c r="C36" s="435">
        <v>0</v>
      </c>
      <c r="D36" s="501">
        <v>-7.4329999999999998</v>
      </c>
      <c r="E36" s="502">
        <v>-1.546</v>
      </c>
      <c r="F36" s="503">
        <v>-0.13800000000000001</v>
      </c>
      <c r="G36" s="489">
        <v>0</v>
      </c>
      <c r="H36" s="490"/>
      <c r="I36" s="490"/>
      <c r="J36" s="500"/>
      <c r="K36" s="26"/>
    </row>
    <row r="37" spans="1:11" ht="35.049999999999997" customHeight="1" x14ac:dyDescent="0.3">
      <c r="A37" s="10" t="s">
        <v>682</v>
      </c>
      <c r="B37" s="392" t="s">
        <v>480</v>
      </c>
      <c r="C37" s="395">
        <v>0</v>
      </c>
      <c r="D37" s="501">
        <v>-6.1870000000000003</v>
      </c>
      <c r="E37" s="502">
        <v>-1.2090000000000001</v>
      </c>
      <c r="F37" s="503">
        <v>-0.11</v>
      </c>
      <c r="G37" s="489">
        <v>0</v>
      </c>
      <c r="H37" s="490"/>
      <c r="I37" s="490"/>
      <c r="J37" s="500"/>
      <c r="K37" s="26"/>
    </row>
    <row r="38" spans="1:11" ht="35.049999999999997" customHeight="1" x14ac:dyDescent="0.3">
      <c r="A38" s="10" t="s">
        <v>597</v>
      </c>
      <c r="B38" s="27" t="s">
        <v>1061</v>
      </c>
      <c r="C38" s="395">
        <v>0</v>
      </c>
      <c r="D38" s="501">
        <v>-7.4329999999999998</v>
      </c>
      <c r="E38" s="502">
        <v>-1.546</v>
      </c>
      <c r="F38" s="503">
        <v>-0.13800000000000001</v>
      </c>
      <c r="G38" s="489">
        <v>0</v>
      </c>
      <c r="H38" s="490"/>
      <c r="I38" s="490"/>
      <c r="J38" s="499">
        <v>0.13700000000000001</v>
      </c>
      <c r="K38" s="26"/>
    </row>
    <row r="39" spans="1:11" ht="35.049999999999997" customHeight="1" x14ac:dyDescent="0.3">
      <c r="A39" s="10" t="s">
        <v>683</v>
      </c>
      <c r="B39" s="392" t="s">
        <v>480</v>
      </c>
      <c r="C39" s="395">
        <v>0</v>
      </c>
      <c r="D39" s="501">
        <v>-7.4329999999999998</v>
      </c>
      <c r="E39" s="502">
        <v>-1.546</v>
      </c>
      <c r="F39" s="503">
        <v>-0.13800000000000001</v>
      </c>
      <c r="G39" s="489">
        <v>0</v>
      </c>
      <c r="H39" s="490"/>
      <c r="I39" s="490"/>
      <c r="J39" s="500"/>
      <c r="K39" s="26"/>
    </row>
    <row r="40" spans="1:11" ht="35.049999999999997" customHeight="1" x14ac:dyDescent="0.3">
      <c r="A40" s="10" t="s">
        <v>684</v>
      </c>
      <c r="B40" s="392" t="s">
        <v>480</v>
      </c>
      <c r="C40" s="395">
        <v>0</v>
      </c>
      <c r="D40" s="501">
        <v>-6.1870000000000003</v>
      </c>
      <c r="E40" s="502">
        <v>-1.2090000000000001</v>
      </c>
      <c r="F40" s="503">
        <v>-0.11</v>
      </c>
      <c r="G40" s="489">
        <v>0</v>
      </c>
      <c r="H40" s="490"/>
      <c r="I40" s="490"/>
      <c r="J40" s="499">
        <v>0.115</v>
      </c>
      <c r="K40" s="26"/>
    </row>
    <row r="41" spans="1:11" ht="35.049999999999997" customHeight="1" x14ac:dyDescent="0.3">
      <c r="A41" s="10" t="s">
        <v>685</v>
      </c>
      <c r="B41" s="392" t="s">
        <v>480</v>
      </c>
      <c r="C41" s="395">
        <v>0</v>
      </c>
      <c r="D41" s="501">
        <v>-6.1870000000000003</v>
      </c>
      <c r="E41" s="502">
        <v>-1.2090000000000001</v>
      </c>
      <c r="F41" s="503">
        <v>-0.11</v>
      </c>
      <c r="G41" s="489">
        <v>0</v>
      </c>
      <c r="H41" s="490"/>
      <c r="I41" s="490"/>
      <c r="J41" s="500"/>
      <c r="K41" s="26"/>
    </row>
    <row r="42" spans="1:11" ht="35.049999999999997" customHeight="1" x14ac:dyDescent="0.3">
      <c r="A42" s="10" t="s">
        <v>598</v>
      </c>
      <c r="B42" s="26" t="s">
        <v>1062</v>
      </c>
      <c r="C42" s="395">
        <v>0</v>
      </c>
      <c r="D42" s="501">
        <v>-4.726</v>
      </c>
      <c r="E42" s="502">
        <v>-0.8</v>
      </c>
      <c r="F42" s="503">
        <v>-7.5999999999999998E-2</v>
      </c>
      <c r="G42" s="489">
        <v>10.72</v>
      </c>
      <c r="H42" s="490"/>
      <c r="I42" s="490"/>
      <c r="J42" s="499">
        <v>8.4000000000000005E-2</v>
      </c>
      <c r="K42" s="26"/>
    </row>
    <row r="43" spans="1:11" ht="35.049999999999997" customHeight="1" x14ac:dyDescent="0.3">
      <c r="A43" s="10" t="s">
        <v>681</v>
      </c>
      <c r="B43" s="392" t="s">
        <v>480</v>
      </c>
      <c r="C43" s="395">
        <v>0</v>
      </c>
      <c r="D43" s="501">
        <v>-4.726</v>
      </c>
      <c r="E43" s="502">
        <v>-0.8</v>
      </c>
      <c r="F43" s="503">
        <v>-7.5999999999999998E-2</v>
      </c>
      <c r="G43" s="489">
        <v>10.72</v>
      </c>
      <c r="H43" s="490"/>
      <c r="I43" s="490"/>
      <c r="J43" s="500"/>
      <c r="K43" s="26"/>
    </row>
  </sheetData>
  <mergeCells count="13">
    <mergeCell ref="G9:H9"/>
    <mergeCell ref="I9:K9"/>
    <mergeCell ref="A2:K2"/>
    <mergeCell ref="A4:E4"/>
    <mergeCell ref="G4:K4"/>
    <mergeCell ref="C5:D5"/>
    <mergeCell ref="G5:H5"/>
    <mergeCell ref="C6:D6"/>
    <mergeCell ref="G6:H6"/>
    <mergeCell ref="C7:D7"/>
    <mergeCell ref="G7:H7"/>
    <mergeCell ref="B8:E8"/>
    <mergeCell ref="G8:H8"/>
  </mergeCells>
  <phoneticPr fontId="6" type="noConversion"/>
  <hyperlinks>
    <hyperlink ref="A1" location="Overview!A1" display="Back to Overview" xr:uid="{00000000-0004-0000-07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ED74-F961-451F-8F9A-E46F2C3E733A}">
  <sheetPr codeName="Sheet9">
    <pageSetUpPr fitToPage="1"/>
  </sheetPr>
  <dimension ref="A1:N43"/>
  <sheetViews>
    <sheetView zoomScale="50" zoomScaleNormal="50" workbookViewId="0">
      <selection activeCell="F10" sqref="F10"/>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4" ht="40" customHeight="1" x14ac:dyDescent="0.3">
      <c r="A1" s="56" t="s">
        <v>19</v>
      </c>
      <c r="B1" s="41"/>
      <c r="C1" s="41"/>
      <c r="D1" s="41"/>
    </row>
    <row r="2" spans="1:14" ht="40" customHeight="1" x14ac:dyDescent="0.3">
      <c r="A2" s="552" t="str">
        <f>Overview!B4&amp;" - Effective from "&amp;Overview!D4&amp;" - Final LV and HV charges in SSE SEPD Area (GSP Group _H)"</f>
        <v>Indigo Power Limited - Effective from 1 April 2023 - Final LV and HV charges in SSE SEPD Area (GSP Group _H)</v>
      </c>
      <c r="B2" s="552"/>
      <c r="C2" s="552"/>
      <c r="D2" s="552"/>
      <c r="E2" s="552"/>
      <c r="F2" s="552"/>
      <c r="G2" s="552"/>
      <c r="H2" s="552"/>
      <c r="I2" s="552"/>
      <c r="J2" s="552"/>
      <c r="K2" s="552"/>
    </row>
    <row r="3" spans="1:14" s="47" customFormat="1" ht="40" customHeight="1" x14ac:dyDescent="0.3">
      <c r="A3" s="45"/>
      <c r="B3" s="45"/>
      <c r="C3" s="45"/>
      <c r="D3" s="45"/>
      <c r="E3" s="45"/>
      <c r="F3" s="45"/>
      <c r="G3" s="45"/>
      <c r="H3" s="45"/>
      <c r="I3" s="45"/>
      <c r="J3" s="45"/>
      <c r="K3" s="45"/>
      <c r="L3" s="46"/>
      <c r="M3" s="46"/>
    </row>
    <row r="4" spans="1:14" ht="40" customHeight="1" x14ac:dyDescent="0.3">
      <c r="A4" s="552" t="s">
        <v>308</v>
      </c>
      <c r="B4" s="552"/>
      <c r="C4" s="552"/>
      <c r="D4" s="552"/>
      <c r="E4" s="552"/>
      <c r="F4" s="45"/>
      <c r="G4" s="552" t="s">
        <v>307</v>
      </c>
      <c r="H4" s="552"/>
      <c r="I4" s="552"/>
      <c r="J4" s="552"/>
      <c r="K4" s="552"/>
    </row>
    <row r="5" spans="1:14" ht="40" customHeight="1" x14ac:dyDescent="0.3">
      <c r="A5" s="468" t="s">
        <v>13</v>
      </c>
      <c r="B5" s="281" t="s">
        <v>299</v>
      </c>
      <c r="C5" s="547" t="s">
        <v>300</v>
      </c>
      <c r="D5" s="548"/>
      <c r="E5" s="42" t="s">
        <v>301</v>
      </c>
      <c r="F5" s="45"/>
      <c r="G5" s="549"/>
      <c r="H5" s="550"/>
      <c r="I5" s="43" t="s">
        <v>305</v>
      </c>
      <c r="J5" s="44" t="s">
        <v>306</v>
      </c>
      <c r="K5" s="42" t="s">
        <v>301</v>
      </c>
      <c r="L5" s="45"/>
      <c r="N5" s="3"/>
    </row>
    <row r="6" spans="1:14" ht="40" customHeight="1" x14ac:dyDescent="0.3">
      <c r="A6" s="105" t="s">
        <v>601</v>
      </c>
      <c r="B6" s="13" t="s">
        <v>473</v>
      </c>
      <c r="C6" s="577" t="s">
        <v>603</v>
      </c>
      <c r="D6" s="577" t="s">
        <v>603</v>
      </c>
      <c r="E6" s="274" t="s">
        <v>603</v>
      </c>
      <c r="F6" s="45" t="s">
        <v>603</v>
      </c>
      <c r="G6" s="569" t="s">
        <v>649</v>
      </c>
      <c r="H6" s="569" t="s">
        <v>603</v>
      </c>
      <c r="I6" s="274" t="s">
        <v>603</v>
      </c>
      <c r="J6" s="279" t="s">
        <v>650</v>
      </c>
      <c r="K6" s="274" t="s">
        <v>603</v>
      </c>
      <c r="L6" s="45"/>
      <c r="N6" s="3"/>
    </row>
    <row r="7" spans="1:14" ht="40" customHeight="1" x14ac:dyDescent="0.3">
      <c r="A7" s="105" t="s">
        <v>601</v>
      </c>
      <c r="B7" s="274" t="s">
        <v>603</v>
      </c>
      <c r="C7" s="542" t="s">
        <v>651</v>
      </c>
      <c r="D7" s="543" t="s">
        <v>603</v>
      </c>
      <c r="E7" s="274" t="s">
        <v>603</v>
      </c>
      <c r="F7" s="45" t="s">
        <v>603</v>
      </c>
      <c r="G7" s="569" t="s">
        <v>652</v>
      </c>
      <c r="H7" s="569" t="s">
        <v>603</v>
      </c>
      <c r="I7" s="273" t="s">
        <v>473</v>
      </c>
      <c r="J7" s="279" t="s">
        <v>651</v>
      </c>
      <c r="K7" s="274" t="s">
        <v>603</v>
      </c>
      <c r="L7" s="45"/>
      <c r="N7" s="3"/>
    </row>
    <row r="8" spans="1:14" ht="40" customHeight="1" x14ac:dyDescent="0.3">
      <c r="A8" s="105" t="s">
        <v>601</v>
      </c>
      <c r="B8" s="274" t="s">
        <v>603</v>
      </c>
      <c r="C8" s="577" t="s">
        <v>603</v>
      </c>
      <c r="D8" s="577" t="s">
        <v>603</v>
      </c>
      <c r="E8" s="86" t="s">
        <v>653</v>
      </c>
      <c r="F8" s="45" t="s">
        <v>603</v>
      </c>
      <c r="G8" s="569" t="s">
        <v>654</v>
      </c>
      <c r="H8" s="569" t="s">
        <v>603</v>
      </c>
      <c r="I8" s="274" t="s">
        <v>603</v>
      </c>
      <c r="J8" s="274" t="s">
        <v>603</v>
      </c>
      <c r="K8" s="86" t="s">
        <v>653</v>
      </c>
      <c r="L8" s="45"/>
      <c r="N8" s="3"/>
    </row>
    <row r="9" spans="1:14" s="41" customFormat="1" ht="40" customHeight="1" x14ac:dyDescent="0.3">
      <c r="A9" s="464" t="s">
        <v>605</v>
      </c>
      <c r="B9" s="274" t="s">
        <v>603</v>
      </c>
      <c r="C9" s="578" t="s">
        <v>655</v>
      </c>
      <c r="D9" s="578" t="s">
        <v>603</v>
      </c>
      <c r="E9" s="86" t="s">
        <v>656</v>
      </c>
      <c r="F9" s="45" t="s">
        <v>603</v>
      </c>
      <c r="G9" s="569" t="s">
        <v>657</v>
      </c>
      <c r="H9" s="569" t="s">
        <v>603</v>
      </c>
      <c r="I9" s="274" t="s">
        <v>603</v>
      </c>
      <c r="J9" s="279" t="s">
        <v>655</v>
      </c>
      <c r="K9" s="86" t="s">
        <v>656</v>
      </c>
      <c r="L9" s="45"/>
      <c r="M9" s="29"/>
      <c r="N9" s="29"/>
    </row>
    <row r="10" spans="1:14" s="47" customFormat="1" ht="40" customHeight="1" x14ac:dyDescent="0.3">
      <c r="A10" s="465" t="s">
        <v>14</v>
      </c>
      <c r="B10" s="537" t="s">
        <v>15</v>
      </c>
      <c r="C10" s="546" t="s">
        <v>603</v>
      </c>
      <c r="D10" s="546" t="s">
        <v>603</v>
      </c>
      <c r="E10" s="538" t="s">
        <v>603</v>
      </c>
      <c r="F10" s="518" t="s">
        <v>480</v>
      </c>
      <c r="G10" s="569" t="s">
        <v>14</v>
      </c>
      <c r="H10" s="569" t="s">
        <v>603</v>
      </c>
      <c r="I10" s="569" t="s">
        <v>15</v>
      </c>
      <c r="J10" s="569" t="s">
        <v>603</v>
      </c>
      <c r="K10" s="569" t="s">
        <v>603</v>
      </c>
      <c r="L10" s="45"/>
      <c r="M10" s="46"/>
      <c r="N10" s="46"/>
    </row>
    <row r="11" spans="1:14" ht="75" customHeight="1" x14ac:dyDescent="0.3">
      <c r="A11" s="18" t="s">
        <v>455</v>
      </c>
      <c r="B11" s="433" t="s">
        <v>23</v>
      </c>
      <c r="C11" s="433" t="s">
        <v>24</v>
      </c>
      <c r="D11" s="374" t="s">
        <v>579</v>
      </c>
      <c r="E11" s="374" t="s">
        <v>580</v>
      </c>
      <c r="F11" s="374" t="s">
        <v>581</v>
      </c>
      <c r="G11" s="433" t="s">
        <v>25</v>
      </c>
      <c r="H11" s="433" t="s">
        <v>26</v>
      </c>
      <c r="I11" s="18" t="s">
        <v>456</v>
      </c>
      <c r="J11" s="433" t="s">
        <v>270</v>
      </c>
      <c r="K11" s="433" t="s">
        <v>0</v>
      </c>
    </row>
    <row r="12" spans="1:14" ht="35.049999999999997" customHeight="1" x14ac:dyDescent="0.3">
      <c r="A12" s="10" t="s">
        <v>570</v>
      </c>
      <c r="B12" s="387" t="s">
        <v>1021</v>
      </c>
      <c r="C12" s="434" t="s">
        <v>639</v>
      </c>
      <c r="D12" s="501">
        <v>8.5990000000000002</v>
      </c>
      <c r="E12" s="502">
        <v>1.115</v>
      </c>
      <c r="F12" s="503">
        <v>5.3999999999999999E-2</v>
      </c>
      <c r="G12" s="489">
        <v>10.69</v>
      </c>
      <c r="H12" s="490"/>
      <c r="I12" s="490"/>
      <c r="J12" s="500"/>
      <c r="K12" s="26"/>
    </row>
    <row r="13" spans="1:14" ht="35.049999999999997" customHeight="1" x14ac:dyDescent="0.3">
      <c r="A13" s="10" t="s">
        <v>571</v>
      </c>
      <c r="B13" s="387" t="s">
        <v>1022</v>
      </c>
      <c r="C13" s="395">
        <v>2</v>
      </c>
      <c r="D13" s="501">
        <v>8.5990000000000002</v>
      </c>
      <c r="E13" s="502">
        <v>1.115</v>
      </c>
      <c r="F13" s="503">
        <v>5.3999999999999999E-2</v>
      </c>
      <c r="G13" s="490"/>
      <c r="H13" s="490"/>
      <c r="I13" s="490"/>
      <c r="J13" s="500"/>
      <c r="K13" s="26"/>
    </row>
    <row r="14" spans="1:14" ht="35.049999999999997" customHeight="1" x14ac:dyDescent="0.3">
      <c r="A14" s="10" t="s">
        <v>745</v>
      </c>
      <c r="B14" s="387" t="s">
        <v>1023</v>
      </c>
      <c r="C14" s="409" t="s">
        <v>640</v>
      </c>
      <c r="D14" s="501">
        <v>7.5789999999999997</v>
      </c>
      <c r="E14" s="502">
        <v>0.98299999999999998</v>
      </c>
      <c r="F14" s="503">
        <v>4.8000000000000001E-2</v>
      </c>
      <c r="G14" s="489">
        <v>8.15</v>
      </c>
      <c r="H14" s="490"/>
      <c r="I14" s="490"/>
      <c r="J14" s="500"/>
      <c r="K14" s="26"/>
    </row>
    <row r="15" spans="1:14" ht="35.049999999999997" customHeight="1" x14ac:dyDescent="0.3">
      <c r="A15" s="10" t="s">
        <v>746</v>
      </c>
      <c r="B15" s="387" t="s">
        <v>1024</v>
      </c>
      <c r="C15" s="409" t="s">
        <v>640</v>
      </c>
      <c r="D15" s="501">
        <v>7.5789999999999997</v>
      </c>
      <c r="E15" s="502">
        <v>0.98299999999999998</v>
      </c>
      <c r="F15" s="503">
        <v>4.8000000000000001E-2</v>
      </c>
      <c r="G15" s="489">
        <v>11.38</v>
      </c>
      <c r="H15" s="490"/>
      <c r="I15" s="490"/>
      <c r="J15" s="500"/>
      <c r="K15" s="26"/>
    </row>
    <row r="16" spans="1:14" ht="35.049999999999997" customHeight="1" x14ac:dyDescent="0.3">
      <c r="A16" s="10" t="s">
        <v>747</v>
      </c>
      <c r="B16" s="27" t="s">
        <v>1025</v>
      </c>
      <c r="C16" s="409" t="s">
        <v>640</v>
      </c>
      <c r="D16" s="501">
        <v>7.5789999999999997</v>
      </c>
      <c r="E16" s="502">
        <v>0.98299999999999998</v>
      </c>
      <c r="F16" s="503">
        <v>4.8000000000000001E-2</v>
      </c>
      <c r="G16" s="489">
        <v>18.739999999999998</v>
      </c>
      <c r="H16" s="490"/>
      <c r="I16" s="490"/>
      <c r="J16" s="500"/>
      <c r="K16" s="26"/>
    </row>
    <row r="17" spans="1:11" ht="35.049999999999997" customHeight="1" x14ac:dyDescent="0.3">
      <c r="A17" s="10" t="s">
        <v>748</v>
      </c>
      <c r="B17" s="27" t="s">
        <v>1026</v>
      </c>
      <c r="C17" s="409" t="s">
        <v>640</v>
      </c>
      <c r="D17" s="501">
        <v>7.5789999999999997</v>
      </c>
      <c r="E17" s="502">
        <v>0.98299999999999998</v>
      </c>
      <c r="F17" s="503">
        <v>4.8000000000000001E-2</v>
      </c>
      <c r="G17" s="489">
        <v>32.15</v>
      </c>
      <c r="H17" s="490"/>
      <c r="I17" s="490"/>
      <c r="J17" s="500"/>
      <c r="K17" s="26"/>
    </row>
    <row r="18" spans="1:11" ht="35.049999999999997" customHeight="1" x14ac:dyDescent="0.3">
      <c r="A18" s="10" t="s">
        <v>749</v>
      </c>
      <c r="B18" s="27" t="s">
        <v>1027</v>
      </c>
      <c r="C18" s="409" t="s">
        <v>640</v>
      </c>
      <c r="D18" s="501">
        <v>7.5789999999999997</v>
      </c>
      <c r="E18" s="502">
        <v>0.98299999999999998</v>
      </c>
      <c r="F18" s="503">
        <v>4.8000000000000001E-2</v>
      </c>
      <c r="G18" s="489">
        <v>73.44</v>
      </c>
      <c r="H18" s="490"/>
      <c r="I18" s="490"/>
      <c r="J18" s="500"/>
      <c r="K18" s="26"/>
    </row>
    <row r="19" spans="1:11" ht="35.049999999999997" customHeight="1" x14ac:dyDescent="0.3">
      <c r="A19" s="10" t="s">
        <v>572</v>
      </c>
      <c r="B19" s="27" t="s">
        <v>1028</v>
      </c>
      <c r="C19" s="395">
        <v>4</v>
      </c>
      <c r="D19" s="501">
        <v>7.5789999999999997</v>
      </c>
      <c r="E19" s="502">
        <v>0.98299999999999998</v>
      </c>
      <c r="F19" s="503">
        <v>4.8000000000000001E-2</v>
      </c>
      <c r="G19" s="490"/>
      <c r="H19" s="490"/>
      <c r="I19" s="490"/>
      <c r="J19" s="500"/>
      <c r="K19" s="26"/>
    </row>
    <row r="20" spans="1:11" ht="35.049999999999997" customHeight="1" x14ac:dyDescent="0.3">
      <c r="A20" s="10" t="s">
        <v>750</v>
      </c>
      <c r="B20" s="24" t="s">
        <v>1213</v>
      </c>
      <c r="C20" s="395">
        <v>0</v>
      </c>
      <c r="D20" s="501">
        <v>5.92</v>
      </c>
      <c r="E20" s="502">
        <v>0.66200000000000003</v>
      </c>
      <c r="F20" s="503">
        <v>3.1E-2</v>
      </c>
      <c r="G20" s="489">
        <v>17.27</v>
      </c>
      <c r="H20" s="489">
        <v>3.66</v>
      </c>
      <c r="I20" s="396">
        <v>6.84</v>
      </c>
      <c r="J20" s="499">
        <v>0.22</v>
      </c>
      <c r="K20" s="26"/>
    </row>
    <row r="21" spans="1:11" ht="35.049999999999997" customHeight="1" x14ac:dyDescent="0.3">
      <c r="A21" s="10" t="s">
        <v>751</v>
      </c>
      <c r="B21" s="26" t="s">
        <v>1029</v>
      </c>
      <c r="C21" s="395">
        <v>0</v>
      </c>
      <c r="D21" s="501">
        <v>5.92</v>
      </c>
      <c r="E21" s="502">
        <v>0.66200000000000003</v>
      </c>
      <c r="F21" s="503">
        <v>3.1E-2</v>
      </c>
      <c r="G21" s="489">
        <v>137.04</v>
      </c>
      <c r="H21" s="489">
        <v>3.66</v>
      </c>
      <c r="I21" s="396">
        <v>6.84</v>
      </c>
      <c r="J21" s="499">
        <v>0.22</v>
      </c>
      <c r="K21" s="26"/>
    </row>
    <row r="22" spans="1:11" ht="35.049999999999997" customHeight="1" x14ac:dyDescent="0.3">
      <c r="A22" s="10" t="s">
        <v>752</v>
      </c>
      <c r="B22" s="26" t="s">
        <v>1030</v>
      </c>
      <c r="C22" s="395">
        <v>0</v>
      </c>
      <c r="D22" s="501">
        <v>5.92</v>
      </c>
      <c r="E22" s="502">
        <v>0.66200000000000003</v>
      </c>
      <c r="F22" s="503">
        <v>3.1E-2</v>
      </c>
      <c r="G22" s="489">
        <v>239.9</v>
      </c>
      <c r="H22" s="489">
        <v>3.66</v>
      </c>
      <c r="I22" s="396">
        <v>6.84</v>
      </c>
      <c r="J22" s="499">
        <v>0.22</v>
      </c>
      <c r="K22" s="26"/>
    </row>
    <row r="23" spans="1:11" ht="35.049999999999997" customHeight="1" x14ac:dyDescent="0.3">
      <c r="A23" s="10" t="s">
        <v>753</v>
      </c>
      <c r="B23" s="26" t="s">
        <v>1031</v>
      </c>
      <c r="C23" s="395">
        <v>0</v>
      </c>
      <c r="D23" s="501">
        <v>5.92</v>
      </c>
      <c r="E23" s="502">
        <v>0.66200000000000003</v>
      </c>
      <c r="F23" s="503">
        <v>3.1E-2</v>
      </c>
      <c r="G23" s="489">
        <v>361.82</v>
      </c>
      <c r="H23" s="489">
        <v>3.66</v>
      </c>
      <c r="I23" s="396">
        <v>6.84</v>
      </c>
      <c r="J23" s="499">
        <v>0.22</v>
      </c>
      <c r="K23" s="26"/>
    </row>
    <row r="24" spans="1:11" ht="35.049999999999997" customHeight="1" x14ac:dyDescent="0.3">
      <c r="A24" s="10" t="s">
        <v>754</v>
      </c>
      <c r="B24" s="26" t="s">
        <v>1032</v>
      </c>
      <c r="C24" s="395">
        <v>0</v>
      </c>
      <c r="D24" s="501">
        <v>5.92</v>
      </c>
      <c r="E24" s="502">
        <v>0.66200000000000003</v>
      </c>
      <c r="F24" s="503">
        <v>3.1E-2</v>
      </c>
      <c r="G24" s="489">
        <v>898.33</v>
      </c>
      <c r="H24" s="489">
        <v>3.66</v>
      </c>
      <c r="I24" s="396">
        <v>6.84</v>
      </c>
      <c r="J24" s="499">
        <v>0.22</v>
      </c>
      <c r="K24" s="26"/>
    </row>
    <row r="25" spans="1:11" ht="35.049999999999997" customHeight="1" x14ac:dyDescent="0.3">
      <c r="A25" s="10" t="s">
        <v>755</v>
      </c>
      <c r="B25" s="392" t="s">
        <v>480</v>
      </c>
      <c r="C25" s="395">
        <v>0</v>
      </c>
      <c r="D25" s="501">
        <v>3.9039999999999999</v>
      </c>
      <c r="E25" s="502">
        <v>0.29799999999999999</v>
      </c>
      <c r="F25" s="503">
        <v>1.2E-2</v>
      </c>
      <c r="G25" s="489">
        <v>40.26</v>
      </c>
      <c r="H25" s="489">
        <v>4.92</v>
      </c>
      <c r="I25" s="396">
        <v>6.43</v>
      </c>
      <c r="J25" s="499">
        <v>0.123</v>
      </c>
      <c r="K25" s="26"/>
    </row>
    <row r="26" spans="1:11" ht="35.049999999999997" customHeight="1" x14ac:dyDescent="0.3">
      <c r="A26" s="10" t="s">
        <v>756</v>
      </c>
      <c r="B26" s="392" t="s">
        <v>480</v>
      </c>
      <c r="C26" s="395">
        <v>0</v>
      </c>
      <c r="D26" s="501">
        <v>3.9039999999999999</v>
      </c>
      <c r="E26" s="502">
        <v>0.29799999999999999</v>
      </c>
      <c r="F26" s="503">
        <v>1.2E-2</v>
      </c>
      <c r="G26" s="489">
        <v>160.04</v>
      </c>
      <c r="H26" s="489">
        <v>4.92</v>
      </c>
      <c r="I26" s="396">
        <v>6.43</v>
      </c>
      <c r="J26" s="499">
        <v>0.123</v>
      </c>
      <c r="K26" s="26"/>
    </row>
    <row r="27" spans="1:11" ht="35.049999999999997" customHeight="1" x14ac:dyDescent="0.3">
      <c r="A27" s="10" t="s">
        <v>757</v>
      </c>
      <c r="B27" s="392" t="s">
        <v>480</v>
      </c>
      <c r="C27" s="395">
        <v>0</v>
      </c>
      <c r="D27" s="501">
        <v>3.9039999999999999</v>
      </c>
      <c r="E27" s="502">
        <v>0.29799999999999999</v>
      </c>
      <c r="F27" s="503">
        <v>1.2E-2</v>
      </c>
      <c r="G27" s="489">
        <v>262.89999999999998</v>
      </c>
      <c r="H27" s="489">
        <v>4.92</v>
      </c>
      <c r="I27" s="396">
        <v>6.43</v>
      </c>
      <c r="J27" s="499">
        <v>0.123</v>
      </c>
      <c r="K27" s="26"/>
    </row>
    <row r="28" spans="1:11" ht="35.049999999999997" customHeight="1" x14ac:dyDescent="0.3">
      <c r="A28" s="10" t="s">
        <v>758</v>
      </c>
      <c r="B28" s="392" t="s">
        <v>480</v>
      </c>
      <c r="C28" s="395">
        <v>0</v>
      </c>
      <c r="D28" s="501">
        <v>3.9039999999999999</v>
      </c>
      <c r="E28" s="502">
        <v>0.29799999999999999</v>
      </c>
      <c r="F28" s="503">
        <v>1.2E-2</v>
      </c>
      <c r="G28" s="489">
        <v>384.81</v>
      </c>
      <c r="H28" s="489">
        <v>4.92</v>
      </c>
      <c r="I28" s="396">
        <v>6.43</v>
      </c>
      <c r="J28" s="499">
        <v>0.123</v>
      </c>
      <c r="K28" s="26"/>
    </row>
    <row r="29" spans="1:11" ht="35.049999999999997" customHeight="1" x14ac:dyDescent="0.3">
      <c r="A29" s="10" t="s">
        <v>759</v>
      </c>
      <c r="B29" s="392" t="s">
        <v>480</v>
      </c>
      <c r="C29" s="395">
        <v>0</v>
      </c>
      <c r="D29" s="501">
        <v>3.9039999999999999</v>
      </c>
      <c r="E29" s="502">
        <v>0.29799999999999999</v>
      </c>
      <c r="F29" s="503">
        <v>1.2E-2</v>
      </c>
      <c r="G29" s="489">
        <v>921.33</v>
      </c>
      <c r="H29" s="489">
        <v>4.92</v>
      </c>
      <c r="I29" s="396">
        <v>6.43</v>
      </c>
      <c r="J29" s="499">
        <v>0.123</v>
      </c>
      <c r="K29" s="26"/>
    </row>
    <row r="30" spans="1:11" ht="35.049999999999997" customHeight="1" x14ac:dyDescent="0.3">
      <c r="A30" s="10" t="s">
        <v>760</v>
      </c>
      <c r="B30" s="387" t="s">
        <v>1033</v>
      </c>
      <c r="C30" s="395">
        <v>0</v>
      </c>
      <c r="D30" s="501">
        <v>3.1819999999999999</v>
      </c>
      <c r="E30" s="502">
        <v>0.216</v>
      </c>
      <c r="F30" s="503">
        <v>8.9999999999999993E-3</v>
      </c>
      <c r="G30" s="489">
        <v>174.35</v>
      </c>
      <c r="H30" s="489">
        <v>5.87</v>
      </c>
      <c r="I30" s="396">
        <v>7.1</v>
      </c>
      <c r="J30" s="499">
        <v>9.2999999999999999E-2</v>
      </c>
      <c r="K30" s="26"/>
    </row>
    <row r="31" spans="1:11" ht="35.049999999999997" customHeight="1" x14ac:dyDescent="0.3">
      <c r="A31" s="10" t="s">
        <v>761</v>
      </c>
      <c r="B31" s="26" t="s">
        <v>1034</v>
      </c>
      <c r="C31" s="395">
        <v>0</v>
      </c>
      <c r="D31" s="501">
        <v>3.1819999999999999</v>
      </c>
      <c r="E31" s="502">
        <v>0.216</v>
      </c>
      <c r="F31" s="503">
        <v>8.9999999999999993E-3</v>
      </c>
      <c r="G31" s="489">
        <v>908.69</v>
      </c>
      <c r="H31" s="489">
        <v>5.87</v>
      </c>
      <c r="I31" s="396">
        <v>7.1</v>
      </c>
      <c r="J31" s="499">
        <v>9.2999999999999999E-2</v>
      </c>
      <c r="K31" s="26"/>
    </row>
    <row r="32" spans="1:11" ht="35.049999999999997" customHeight="1" x14ac:dyDescent="0.3">
      <c r="A32" s="10" t="s">
        <v>762</v>
      </c>
      <c r="B32" s="26" t="s">
        <v>1035</v>
      </c>
      <c r="C32" s="395">
        <v>0</v>
      </c>
      <c r="D32" s="501">
        <v>3.1819999999999999</v>
      </c>
      <c r="E32" s="502">
        <v>0.216</v>
      </c>
      <c r="F32" s="503">
        <v>8.9999999999999993E-3</v>
      </c>
      <c r="G32" s="489">
        <v>2316.9</v>
      </c>
      <c r="H32" s="489">
        <v>5.87</v>
      </c>
      <c r="I32" s="396">
        <v>7.1</v>
      </c>
      <c r="J32" s="499">
        <v>9.2999999999999999E-2</v>
      </c>
      <c r="K32" s="26"/>
    </row>
    <row r="33" spans="1:11" ht="35.049999999999997" customHeight="1" x14ac:dyDescent="0.3">
      <c r="A33" s="10" t="s">
        <v>763</v>
      </c>
      <c r="B33" s="26" t="s">
        <v>1036</v>
      </c>
      <c r="C33" s="395">
        <v>0</v>
      </c>
      <c r="D33" s="501">
        <v>3.1819999999999999</v>
      </c>
      <c r="E33" s="502">
        <v>0.216</v>
      </c>
      <c r="F33" s="503">
        <v>8.9999999999999993E-3</v>
      </c>
      <c r="G33" s="489">
        <v>4106.95</v>
      </c>
      <c r="H33" s="489">
        <v>5.87</v>
      </c>
      <c r="I33" s="396">
        <v>7.1</v>
      </c>
      <c r="J33" s="499">
        <v>9.2999999999999999E-2</v>
      </c>
      <c r="K33" s="26"/>
    </row>
    <row r="34" spans="1:11" ht="35.049999999999997" customHeight="1" x14ac:dyDescent="0.3">
      <c r="A34" s="10" t="s">
        <v>764</v>
      </c>
      <c r="B34" s="26" t="s">
        <v>1037</v>
      </c>
      <c r="C34" s="395">
        <v>0</v>
      </c>
      <c r="D34" s="501">
        <v>3.1819999999999999</v>
      </c>
      <c r="E34" s="502">
        <v>0.216</v>
      </c>
      <c r="F34" s="503">
        <v>8.9999999999999993E-3</v>
      </c>
      <c r="G34" s="489">
        <v>10505.79</v>
      </c>
      <c r="H34" s="489">
        <v>5.87</v>
      </c>
      <c r="I34" s="396">
        <v>7.1</v>
      </c>
      <c r="J34" s="499">
        <v>9.2999999999999999E-2</v>
      </c>
      <c r="K34" s="26"/>
    </row>
    <row r="35" spans="1:11" ht="35.049999999999997" customHeight="1" x14ac:dyDescent="0.3">
      <c r="A35" s="10" t="s">
        <v>573</v>
      </c>
      <c r="B35" s="387" t="s">
        <v>1038</v>
      </c>
      <c r="C35" s="395" t="s">
        <v>616</v>
      </c>
      <c r="D35" s="504">
        <v>19.635000000000002</v>
      </c>
      <c r="E35" s="505">
        <v>3.58</v>
      </c>
      <c r="F35" s="503">
        <v>2.738</v>
      </c>
      <c r="G35" s="490"/>
      <c r="H35" s="490"/>
      <c r="I35" s="490"/>
      <c r="J35" s="500"/>
      <c r="K35" s="26"/>
    </row>
    <row r="36" spans="1:11" ht="35.049999999999997" customHeight="1" x14ac:dyDescent="0.3">
      <c r="A36" s="10" t="s">
        <v>617</v>
      </c>
      <c r="B36" s="27" t="s">
        <v>1039</v>
      </c>
      <c r="C36" s="435" t="s">
        <v>621</v>
      </c>
      <c r="D36" s="501">
        <v>-5.8360000000000003</v>
      </c>
      <c r="E36" s="502">
        <v>-0.75700000000000001</v>
      </c>
      <c r="F36" s="503">
        <v>-3.6999999999999998E-2</v>
      </c>
      <c r="G36" s="489">
        <v>0</v>
      </c>
      <c r="H36" s="490"/>
      <c r="I36" s="490"/>
      <c r="J36" s="500"/>
      <c r="K36" s="26"/>
    </row>
    <row r="37" spans="1:11" ht="35.049999999999997" customHeight="1" x14ac:dyDescent="0.3">
      <c r="A37" s="10" t="s">
        <v>682</v>
      </c>
      <c r="B37" s="392" t="s">
        <v>480</v>
      </c>
      <c r="C37" s="395" t="s">
        <v>621</v>
      </c>
      <c r="D37" s="501">
        <v>-5.2140000000000004</v>
      </c>
      <c r="E37" s="502">
        <v>-0.61899999999999999</v>
      </c>
      <c r="F37" s="503">
        <v>-2.9000000000000001E-2</v>
      </c>
      <c r="G37" s="489">
        <v>0</v>
      </c>
      <c r="H37" s="490"/>
      <c r="I37" s="490"/>
      <c r="J37" s="500"/>
      <c r="K37" s="26"/>
    </row>
    <row r="38" spans="1:11" ht="35.049999999999997" customHeight="1" x14ac:dyDescent="0.3">
      <c r="A38" s="10" t="s">
        <v>597</v>
      </c>
      <c r="B38" s="27" t="s">
        <v>1040</v>
      </c>
      <c r="C38" s="395">
        <v>0</v>
      </c>
      <c r="D38" s="501">
        <v>-5.8360000000000003</v>
      </c>
      <c r="E38" s="502">
        <v>-0.75700000000000001</v>
      </c>
      <c r="F38" s="503">
        <v>-3.6999999999999998E-2</v>
      </c>
      <c r="G38" s="489">
        <v>0</v>
      </c>
      <c r="H38" s="490"/>
      <c r="I38" s="490"/>
      <c r="J38" s="499">
        <v>0.22800000000000001</v>
      </c>
      <c r="K38" s="26"/>
    </row>
    <row r="39" spans="1:11" ht="35.049999999999997" customHeight="1" x14ac:dyDescent="0.3">
      <c r="A39" s="10" t="s">
        <v>683</v>
      </c>
      <c r="B39" s="392" t="s">
        <v>480</v>
      </c>
      <c r="C39" s="395">
        <v>0</v>
      </c>
      <c r="D39" s="501">
        <v>-5.8360000000000003</v>
      </c>
      <c r="E39" s="502">
        <v>-0.75700000000000001</v>
      </c>
      <c r="F39" s="503">
        <v>-3.6999999999999998E-2</v>
      </c>
      <c r="G39" s="489">
        <v>0</v>
      </c>
      <c r="H39" s="490"/>
      <c r="I39" s="490"/>
      <c r="J39" s="500"/>
      <c r="K39" s="26"/>
    </row>
    <row r="40" spans="1:11" ht="35.049999999999997" customHeight="1" x14ac:dyDescent="0.3">
      <c r="A40" s="10" t="s">
        <v>684</v>
      </c>
      <c r="B40" s="392" t="s">
        <v>480</v>
      </c>
      <c r="C40" s="395">
        <v>0</v>
      </c>
      <c r="D40" s="501">
        <v>-5.2140000000000004</v>
      </c>
      <c r="E40" s="502">
        <v>-0.61899999999999999</v>
      </c>
      <c r="F40" s="503">
        <v>-2.9000000000000001E-2</v>
      </c>
      <c r="G40" s="489">
        <v>0</v>
      </c>
      <c r="H40" s="490"/>
      <c r="I40" s="490"/>
      <c r="J40" s="499">
        <v>0.191</v>
      </c>
      <c r="K40" s="26"/>
    </row>
    <row r="41" spans="1:11" ht="35.049999999999997" customHeight="1" x14ac:dyDescent="0.3">
      <c r="A41" s="10" t="s">
        <v>685</v>
      </c>
      <c r="B41" s="392" t="s">
        <v>480</v>
      </c>
      <c r="C41" s="395">
        <v>0</v>
      </c>
      <c r="D41" s="501">
        <v>-5.2140000000000004</v>
      </c>
      <c r="E41" s="502">
        <v>-0.61899999999999999</v>
      </c>
      <c r="F41" s="503">
        <v>-2.9000000000000001E-2</v>
      </c>
      <c r="G41" s="489">
        <v>0</v>
      </c>
      <c r="H41" s="490"/>
      <c r="I41" s="490"/>
      <c r="J41" s="500"/>
      <c r="K41" s="26"/>
    </row>
    <row r="42" spans="1:11" ht="35.049999999999997" customHeight="1" x14ac:dyDescent="0.3">
      <c r="A42" s="10" t="s">
        <v>598</v>
      </c>
      <c r="B42" s="26" t="s">
        <v>1041</v>
      </c>
      <c r="C42" s="395">
        <v>0</v>
      </c>
      <c r="D42" s="501">
        <v>-4.0259999999999998</v>
      </c>
      <c r="E42" s="502">
        <v>-0.307</v>
      </c>
      <c r="F42" s="503">
        <v>-1.2999999999999999E-2</v>
      </c>
      <c r="G42" s="489">
        <v>348.55</v>
      </c>
      <c r="H42" s="490"/>
      <c r="I42" s="490"/>
      <c r="J42" s="499">
        <v>0.16600000000000001</v>
      </c>
      <c r="K42" s="26"/>
    </row>
    <row r="43" spans="1:11" ht="35.049999999999997" customHeight="1" x14ac:dyDescent="0.3">
      <c r="A43" s="10" t="s">
        <v>681</v>
      </c>
      <c r="B43" s="392" t="s">
        <v>480</v>
      </c>
      <c r="C43" s="395">
        <v>0</v>
      </c>
      <c r="D43" s="501">
        <v>-4.0259999999999998</v>
      </c>
      <c r="E43" s="502">
        <v>-0.307</v>
      </c>
      <c r="F43" s="503">
        <v>-1.2999999999999999E-2</v>
      </c>
      <c r="G43" s="489">
        <v>348.55</v>
      </c>
      <c r="H43" s="490"/>
      <c r="I43" s="490"/>
      <c r="J43" s="500"/>
      <c r="K43" s="26"/>
    </row>
  </sheetData>
  <mergeCells count="16">
    <mergeCell ref="C6:D6"/>
    <mergeCell ref="G6:H6"/>
    <mergeCell ref="A2:K2"/>
    <mergeCell ref="A4:E4"/>
    <mergeCell ref="G4:K4"/>
    <mergeCell ref="C5:D5"/>
    <mergeCell ref="G5:H5"/>
    <mergeCell ref="C8:D8"/>
    <mergeCell ref="C9:D9"/>
    <mergeCell ref="B10:E10"/>
    <mergeCell ref="I10:K10"/>
    <mergeCell ref="C7:D7"/>
    <mergeCell ref="G7:H7"/>
    <mergeCell ref="G8:H8"/>
    <mergeCell ref="G9:H9"/>
    <mergeCell ref="G10:H10"/>
  </mergeCells>
  <phoneticPr fontId="6" type="noConversion"/>
  <hyperlinks>
    <hyperlink ref="A1" location="Overview!A1" display="Back to Overview" xr:uid="{3691775D-A01B-4908-97D4-313B5B57132E}"/>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3075CFF18524FB9E0FE4A988A3F28" ma:contentTypeVersion="13" ma:contentTypeDescription="Create a new document." ma:contentTypeScope="" ma:versionID="87844edf4602c093582f5f39ad34bd45">
  <xsd:schema xmlns:xsd="http://www.w3.org/2001/XMLSchema" xmlns:xs="http://www.w3.org/2001/XMLSchema" xmlns:p="http://schemas.microsoft.com/office/2006/metadata/properties" xmlns:ns2="68fa3a21-d4f6-404f-b6b9-022f2758285c" xmlns:ns3="2f441ff2-67cb-4d9e-a756-b4f9d2092b10" targetNamespace="http://schemas.microsoft.com/office/2006/metadata/properties" ma:root="true" ma:fieldsID="46b34d94e0bb77ac7a8252dd86abd0ed" ns2:_="" ns3:_="">
    <xsd:import namespace="68fa3a21-d4f6-404f-b6b9-022f2758285c"/>
    <xsd:import namespace="2f441ff2-67cb-4d9e-a756-b4f9d2092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a3a21-d4f6-404f-b6b9-022f2758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441ff2-67cb-4d9e-a756-b4f9d2092b1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49D4B8-4A40-4193-B102-A0D356CB1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a3a21-d4f6-404f-b6b9-022f2758285c"/>
    <ds:schemaRef ds:uri="2f441ff2-67cb-4d9e-a756-b4f9d2092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0D906-06BF-4747-98AB-9F0058177EBF}">
  <ds:schemaRefs>
    <ds:schemaRef ds:uri="http://schemas.microsoft.com/sharepoint/v3/contenttype/forms"/>
  </ds:schemaRefs>
</ds:datastoreItem>
</file>

<file path=customXml/itemProps3.xml><?xml version="1.0" encoding="utf-8"?>
<ds:datastoreItem xmlns:ds="http://schemas.openxmlformats.org/officeDocument/2006/customXml" ds:itemID="{A956038B-080B-4F7E-958B-E08FDD0E83C0}">
  <ds:schemaRefs>
    <ds:schemaRef ds:uri="http://schemas.openxmlformats.org/package/2006/metadata/core-properties"/>
    <ds:schemaRef ds:uri="http://schemas.microsoft.com/office/2006/metadata/properties"/>
    <ds:schemaRef ds:uri="http://www.w3.org/XML/1998/namespace"/>
    <ds:schemaRef ds:uri="2f441ff2-67cb-4d9e-a756-b4f9d2092b10"/>
    <ds:schemaRef ds:uri="http://purl.org/dc/elements/1.1/"/>
    <ds:schemaRef ds:uri="68fa3a21-d4f6-404f-b6b9-022f2758285c"/>
    <ds:schemaRef ds:uri="http://schemas.microsoft.com/office/2006/documentManagement/typ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86</vt:i4>
      </vt:variant>
    </vt:vector>
  </HeadingPairs>
  <TitlesOfParts>
    <vt:vector size="137" baseType="lpstr">
      <vt:lpstr>Overview</vt:lpstr>
      <vt:lpstr>Annex 1 LV and HV charges_A</vt:lpstr>
      <vt:lpstr>Annex 1 LV and HV charges_B</vt:lpstr>
      <vt:lpstr>Annex 1 LV and HV charges_C</vt:lpstr>
      <vt:lpstr>Annex 1 LV and HV charges_D</vt:lpstr>
      <vt:lpstr>Annex 1 LV and HV charges_E</vt:lpstr>
      <vt:lpstr>Annex 1 LV and HV charges_F</vt:lpstr>
      <vt:lpstr>Annex 1 LV and HV charges_G</vt:lpstr>
      <vt:lpstr>Annex 1 LV and HV charges_H</vt:lpstr>
      <vt:lpstr>Annex 1 LV and HV charges_J</vt:lpstr>
      <vt:lpstr>Annex 1 LV and HV charges_K</vt:lpstr>
      <vt:lpstr>Annex 1 LV and HV charges_L</vt:lpstr>
      <vt:lpstr>Annex 1 LV and HV charges_M</vt:lpstr>
      <vt:lpstr>Annex 1 LV and HV charges_N</vt:lpstr>
      <vt:lpstr>Annex 1 LV and HV charges_P</vt:lpstr>
      <vt:lpstr>Annex 2 EHV charges</vt:lpstr>
      <vt:lpstr>Annex 3 Preserved charges</vt:lpstr>
      <vt:lpstr>Annex 4 LDNO charges_A</vt:lpstr>
      <vt:lpstr>Annex 4 LDNO charges_B</vt:lpstr>
      <vt:lpstr>Annex 4 LDNO charges_C</vt:lpstr>
      <vt:lpstr>Annex 4 LDNO charges_D</vt:lpstr>
      <vt:lpstr>Annex 4 LDNO charges_E</vt:lpstr>
      <vt:lpstr>Annex 4 LDNO charges_F</vt:lpstr>
      <vt:lpstr>Annex 4 LDNO charges_G</vt:lpstr>
      <vt:lpstr>Annex 4 LDNO charges_H</vt:lpstr>
      <vt:lpstr>Annex 4 LDNO charges_J</vt:lpstr>
      <vt:lpstr>Annex 4 LDNO charges_K</vt:lpstr>
      <vt:lpstr>Annex 4 LDNO charges_L</vt:lpstr>
      <vt:lpstr>Annex 4 LDNO charges_M</vt:lpstr>
      <vt:lpstr>Annex 4 LDNO charges_N</vt:lpstr>
      <vt:lpstr>Annex 4 LDNO charges_P</vt:lpstr>
      <vt:lpstr>Annex 5 LLFs_A</vt:lpstr>
      <vt:lpstr>Annex 5 LLFs_B</vt:lpstr>
      <vt:lpstr>Annex 5 LLFs_C</vt:lpstr>
      <vt:lpstr>Annex 5 LLFs_D</vt:lpstr>
      <vt:lpstr>Annex 5 LLFs_E</vt:lpstr>
      <vt:lpstr>Annex 5 LLFs_F</vt:lpstr>
      <vt:lpstr>Annex 5 LLFs_G</vt:lpstr>
      <vt:lpstr>Annex 5 LLFs_H</vt:lpstr>
      <vt:lpstr>Annex 5 LLFs_J</vt:lpstr>
      <vt:lpstr>Annex 5 LLFs_K</vt:lpstr>
      <vt:lpstr>Annex 5 LLFs_L</vt:lpstr>
      <vt:lpstr>Annex 5 LLFs_M</vt:lpstr>
      <vt:lpstr>Annex 5 LLFs_N</vt:lpstr>
      <vt:lpstr>Annex 5 LLFs_P</vt:lpstr>
      <vt:lpstr>Annex 6 New or Amended EHV</vt:lpstr>
      <vt:lpstr>Nodal prices</vt:lpstr>
      <vt:lpstr>SSC TPR unit rate lookup</vt:lpstr>
      <vt:lpstr>Residual Charging Bands</vt:lpstr>
      <vt:lpstr>Charge Calculator</vt:lpstr>
      <vt:lpstr>Sheet1</vt:lpstr>
      <vt:lpstr>'Annex 1 LV and HV charges_A'!Print_Area</vt:lpstr>
      <vt:lpstr>'Annex 1 LV and HV charges_B'!Print_Area</vt:lpstr>
      <vt:lpstr>'Annex 1 LV and HV charges_C'!Print_Area</vt:lpstr>
      <vt:lpstr>'Annex 1 LV and HV charges_D'!Print_Area</vt:lpstr>
      <vt:lpstr>'Annex 1 LV and HV charges_E'!Print_Area</vt:lpstr>
      <vt:lpstr>'Annex 1 LV and HV charges_F'!Print_Area</vt:lpstr>
      <vt:lpstr>'Annex 1 LV and HV charges_G'!Print_Area</vt:lpstr>
      <vt:lpstr>'Annex 1 LV and HV charges_H'!Print_Area</vt:lpstr>
      <vt:lpstr>'Annex 1 LV and HV charges_J'!Print_Area</vt:lpstr>
      <vt:lpstr>'Annex 1 LV and HV charges_K'!Print_Area</vt:lpstr>
      <vt:lpstr>'Annex 1 LV and HV charges_L'!Print_Area</vt:lpstr>
      <vt:lpstr>'Annex 1 LV and HV charges_M'!Print_Area</vt:lpstr>
      <vt:lpstr>'Annex 1 LV and HV charges_N'!Print_Area</vt:lpstr>
      <vt:lpstr>'Annex 1 LV and HV charges_P'!Print_Area</vt:lpstr>
      <vt:lpstr>'Annex 2 EHV charges'!Print_Area</vt:lpstr>
      <vt:lpstr>'Annex 3 Preserved charges'!Print_Area</vt:lpstr>
      <vt:lpstr>'Annex 4 LDNO charges_A'!Print_Area</vt:lpstr>
      <vt:lpstr>'Annex 4 LDNO charges_B'!Print_Area</vt:lpstr>
      <vt:lpstr>'Annex 4 LDNO charges_C'!Print_Area</vt:lpstr>
      <vt:lpstr>'Annex 4 LDNO charges_D'!Print_Area</vt:lpstr>
      <vt:lpstr>'Annex 4 LDNO charges_E'!Print_Area</vt:lpstr>
      <vt:lpstr>'Annex 4 LDNO charges_F'!Print_Area</vt:lpstr>
      <vt:lpstr>'Annex 4 LDNO charges_G'!Print_Area</vt:lpstr>
      <vt:lpstr>'Annex 4 LDNO charges_H'!Print_Area</vt:lpstr>
      <vt:lpstr>'Annex 4 LDNO charges_J'!Print_Area</vt:lpstr>
      <vt:lpstr>'Annex 4 LDNO charges_K'!Print_Area</vt:lpstr>
      <vt:lpstr>'Annex 4 LDNO charges_L'!Print_Area</vt:lpstr>
      <vt:lpstr>'Annex 4 LDNO charges_M'!Print_Area</vt:lpstr>
      <vt:lpstr>'Annex 4 LDNO charges_N'!Print_Area</vt:lpstr>
      <vt:lpstr>'Annex 4 LDNO charges_P'!Print_Area</vt:lpstr>
      <vt:lpstr>'Annex 5 LLFs_A'!Print_Area</vt:lpstr>
      <vt:lpstr>'Annex 5 LLFs_B'!Print_Area</vt:lpstr>
      <vt:lpstr>'Annex 5 LLFs_C'!Print_Area</vt:lpstr>
      <vt:lpstr>'Annex 5 LLFs_D'!Print_Area</vt:lpstr>
      <vt:lpstr>'Annex 5 LLFs_E'!Print_Area</vt:lpstr>
      <vt:lpstr>'Annex 5 LLFs_F'!Print_Area</vt:lpstr>
      <vt:lpstr>'Annex 5 LLFs_G'!Print_Area</vt:lpstr>
      <vt:lpstr>'Annex 5 LLFs_H'!Print_Area</vt:lpstr>
      <vt:lpstr>'Annex 5 LLFs_J'!Print_Area</vt:lpstr>
      <vt:lpstr>'Annex 5 LLFs_K'!Print_Area</vt:lpstr>
      <vt:lpstr>'Annex 5 LLFs_L'!Print_Area</vt:lpstr>
      <vt:lpstr>'Annex 5 LLFs_M'!Print_Area</vt:lpstr>
      <vt:lpstr>'Annex 5 LLFs_N'!Print_Area</vt:lpstr>
      <vt:lpstr>'Annex 5 LLFs_P'!Print_Area</vt:lpstr>
      <vt:lpstr>'Annex 6 New or Amended EHV'!Print_Area</vt:lpstr>
      <vt:lpstr>'Nodal prices'!Print_Area</vt:lpstr>
      <vt:lpstr>'Annex 1 LV and HV charges_A'!Print_Titles</vt:lpstr>
      <vt:lpstr>'Annex 1 LV and HV charges_B'!Print_Titles</vt:lpstr>
      <vt:lpstr>'Annex 1 LV and HV charges_C'!Print_Titles</vt:lpstr>
      <vt:lpstr>'Annex 1 LV and HV charges_D'!Print_Titles</vt:lpstr>
      <vt:lpstr>'Annex 1 LV and HV charges_E'!Print_Titles</vt:lpstr>
      <vt:lpstr>'Annex 1 LV and HV charges_F'!Print_Titles</vt:lpstr>
      <vt:lpstr>'Annex 1 LV and HV charges_G'!Print_Titles</vt:lpstr>
      <vt:lpstr>'Annex 1 LV and HV charges_H'!Print_Titles</vt:lpstr>
      <vt:lpstr>'Annex 1 LV and HV charges_J'!Print_Titles</vt:lpstr>
      <vt:lpstr>'Annex 1 LV and HV charges_K'!Print_Titles</vt:lpstr>
      <vt:lpstr>'Annex 1 LV and HV charges_L'!Print_Titles</vt:lpstr>
      <vt:lpstr>'Annex 1 LV and HV charges_M'!Print_Titles</vt:lpstr>
      <vt:lpstr>'Annex 1 LV and HV charges_N'!Print_Titles</vt:lpstr>
      <vt:lpstr>'Annex 1 LV and HV charges_P'!Print_Titles</vt:lpstr>
      <vt:lpstr>'Annex 4 LDNO charges_A'!Print_Titles</vt:lpstr>
      <vt:lpstr>'Annex 4 LDNO charges_B'!Print_Titles</vt:lpstr>
      <vt:lpstr>'Annex 4 LDNO charges_C'!Print_Titles</vt:lpstr>
      <vt:lpstr>'Annex 4 LDNO charges_D'!Print_Titles</vt:lpstr>
      <vt:lpstr>'Annex 4 LDNO charges_E'!Print_Titles</vt:lpstr>
      <vt:lpstr>'Annex 4 LDNO charges_F'!Print_Titles</vt:lpstr>
      <vt:lpstr>'Annex 4 LDNO charges_G'!Print_Titles</vt:lpstr>
      <vt:lpstr>'Annex 4 LDNO charges_H'!Print_Titles</vt:lpstr>
      <vt:lpstr>'Annex 4 LDNO charges_J'!Print_Titles</vt:lpstr>
      <vt:lpstr>'Annex 4 LDNO charges_K'!Print_Titles</vt:lpstr>
      <vt:lpstr>'Annex 4 LDNO charges_L'!Print_Titles</vt:lpstr>
      <vt:lpstr>'Annex 4 LDNO charges_M'!Print_Titles</vt:lpstr>
      <vt:lpstr>'Annex 4 LDNO charges_N'!Print_Titles</vt:lpstr>
      <vt:lpstr>'Annex 4 LDNO charges_P'!Print_Titles</vt:lpstr>
      <vt:lpstr>'Annex 5 LLFs_E'!Print_Titles</vt:lpstr>
      <vt:lpstr>'Annex 5 LLFs_F'!Print_Titles</vt:lpstr>
      <vt:lpstr>'Annex 5 LLFs_H'!Print_Titles</vt:lpstr>
      <vt:lpstr>'Annex 5 LLFs_J'!Print_Titles</vt:lpstr>
      <vt:lpstr>'Annex 5 LLFs_K'!Print_Titles</vt:lpstr>
      <vt:lpstr>'Annex 5 LLFs_L'!Print_Titles</vt:lpstr>
      <vt:lpstr>'Annex 5 LLFs_M'!Print_Titles</vt:lpstr>
      <vt:lpstr>'Annex 5 LLFs_N'!Print_Titles</vt:lpstr>
      <vt:lpstr>'Annex 5 LLFs_P'!Print_Titles</vt:lpstr>
      <vt:lpstr>'Annex 6 New or Amended EHV'!Print_Titles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Megan Goss</cp:lastModifiedBy>
  <cp:lastPrinted>2019-01-15T12:12:59Z</cp:lastPrinted>
  <dcterms:created xsi:type="dcterms:W3CDTF">2009-11-12T11:38:00Z</dcterms:created>
  <dcterms:modified xsi:type="dcterms:W3CDTF">2022-02-09T20:14:04Z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0x010100C243075CFF18524FB9E0FE4A988A3F28</vt:lpwstr>
  </property>
</Properties>
</file>